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R:\IRM Applications\2021 Application\Interrogatories\Filed\"/>
    </mc:Choice>
  </mc:AlternateContent>
  <xr:revisionPtr revIDLastSave="0" documentId="13_ncr:1_{2E741622-243F-4E98-8C06-0CF030F012B8}" xr6:coauthVersionLast="45" xr6:coauthVersionMax="45" xr10:uidLastSave="{00000000-0000-0000-0000-000000000000}"/>
  <bookViews>
    <workbookView xWindow="-120" yWindow="-120" windowWidth="29040" windowHeight="15990" tabRatio="868" firstSheet="8" activeTab="1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SL City of Kitchener" sheetId="88" r:id="rId15"/>
    <sheet name="10. SL Township of Wilmot" sheetId="89" r:id="rId16"/>
    <sheet name="11. SL Region of Waterloo" sheetId="90" r:id="rId17"/>
  </sheets>
  <externalReferences>
    <externalReference r:id="rId18"/>
    <externalReference r:id="rId19"/>
    <externalReference r:id="rId20"/>
  </externalReferences>
  <definedNames>
    <definedName name="_xlnm._FilterDatabase" localSheetId="12" hidden="1">'7.  Persistence Report'!$C$26:$BT$222</definedName>
    <definedName name="_xlnm._FilterDatabase" localSheetId="3" hidden="1">DropDownList!$A$1:$A$40</definedName>
    <definedName name="_xlnm.Print_Area" localSheetId="4">'1.  LRAMVA Summary'!$A$1:$R$107</definedName>
    <definedName name="_xlnm.Print_Area" localSheetId="15">'10. SL Township of Wilmot'!$A$1:$E$70</definedName>
    <definedName name="_xlnm.Print_Area" localSheetId="16">'11. SL Region of Waterloo'!$A$64:$J$83</definedName>
    <definedName name="_xlnm.Print_Area" localSheetId="5">'1-a.  Summary of Changes'!$A$1:$H$51</definedName>
    <definedName name="_xlnm.Print_Area" localSheetId="6">'2. LRAMVA Threshold'!$A$1:$M$22</definedName>
    <definedName name="_xlnm.Print_Area" localSheetId="7">'3.  Distribution Rates'!$A$1:$P$134</definedName>
    <definedName name="_xlnm.Print_Area" localSheetId="8">'3-a.  Rate Class Allocations'!$A$1:$Q$68</definedName>
    <definedName name="_xlnm.Print_Area" localSheetId="9">'4.  2011-2014 LRAM'!$A$1:$AM$532</definedName>
    <definedName name="_xlnm.Print_Area" localSheetId="10">'5.  2015-2020 LRAM'!$A$1:$AM$785</definedName>
    <definedName name="_xlnm.Print_Area" localSheetId="11">'6.  Carrying Charges'!$A$1:$X$164</definedName>
    <definedName name="_xlnm.Print_Area" localSheetId="12">'7.  Persistence Report'!$A$22:$BT$223</definedName>
    <definedName name="_xlnm.Print_Area" localSheetId="13">'8. Streetlighting'!$B$21:$Q$98</definedName>
    <definedName name="_xlnm.Print_Area" localSheetId="14">'9. SL City of Kitchener'!$A$1:$T$63</definedName>
    <definedName name="_xlnm.Print_Area" localSheetId="0">Contents!$A$1:$D$27</definedName>
    <definedName name="_xlnm.Print_Area" localSheetId="2">'LRAMVA Checklist Schematic'!$A$1:$H$31</definedName>
    <definedName name="_xlnm.Print_Titles" localSheetId="15">'10. SL Township of Wilmot'!$1:$5</definedName>
    <definedName name="_xlnm.Print_Titles" localSheetId="16">'11. SL Region of Waterloo'!$1:$5</definedName>
    <definedName name="_xlnm.Print_Titles" localSheetId="8">'3-a.  Rate Class Allocations'!$21:$22</definedName>
    <definedName name="_xlnm.Print_Titles" localSheetId="9">'4.  2011-2014 LRAM'!$B:$B</definedName>
    <definedName name="_xlnm.Print_Titles" localSheetId="10">'5.  2015-2020 LRAM'!$402:$404</definedName>
    <definedName name="_xlnm.Print_Titles" localSheetId="12">'7.  Persistence Report'!$B:$J,'7.  Persistence Report'!$24:$26</definedName>
    <definedName name="_xlnm.Print_Titles" localSheetId="14">'9. SL City of Kitchener'!$1:$5</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LRAM'!$B$599</definedName>
    <definedName name="Table_5_e.__2019_Lost_Revenues_Work_Form">'5.  2015-2020 LRAM'!$B$788</definedName>
    <definedName name="Table_5_f.__2020_Lost_Revenues_Work_Form">'5.  2015-2020 LRAM'!$B$971</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9" i="90" l="1"/>
  <c r="I58" i="90"/>
  <c r="H58" i="90"/>
  <c r="E58" i="90"/>
  <c r="D58" i="90"/>
  <c r="C58" i="90"/>
  <c r="B58" i="90"/>
  <c r="I57" i="90"/>
  <c r="H57" i="90"/>
  <c r="E57" i="90"/>
  <c r="D57" i="90"/>
  <c r="C57" i="90"/>
  <c r="B57" i="90"/>
  <c r="H56" i="90"/>
  <c r="H59" i="90" s="1"/>
  <c r="E56" i="90"/>
  <c r="D56" i="90"/>
  <c r="C56" i="90"/>
  <c r="B56" i="90"/>
  <c r="E55" i="90"/>
  <c r="D55" i="90"/>
  <c r="C55" i="90"/>
  <c r="B55" i="90"/>
  <c r="E54" i="90"/>
  <c r="E59" i="90" s="1"/>
  <c r="K59" i="90" s="1"/>
  <c r="L59" i="90" s="1"/>
  <c r="D54" i="90"/>
  <c r="D59" i="90" s="1"/>
  <c r="C54" i="90"/>
  <c r="C59" i="90" s="1"/>
  <c r="B54" i="90"/>
  <c r="K48" i="90"/>
  <c r="L48" i="90" s="1"/>
  <c r="I48" i="90"/>
  <c r="H48" i="90"/>
  <c r="E48" i="90"/>
  <c r="D48" i="90"/>
  <c r="C48" i="90"/>
  <c r="B48" i="90"/>
  <c r="I47" i="90"/>
  <c r="H40" i="90"/>
  <c r="E40" i="90"/>
  <c r="K40" i="90" s="1"/>
  <c r="L40" i="90" s="1"/>
  <c r="D40" i="90"/>
  <c r="C40" i="90"/>
  <c r="B40" i="90"/>
  <c r="I39" i="90"/>
  <c r="I40" i="90" s="1"/>
  <c r="I38" i="90"/>
  <c r="I37" i="90"/>
  <c r="H33" i="90"/>
  <c r="E33" i="90"/>
  <c r="K33" i="90" s="1"/>
  <c r="L33" i="90" s="1"/>
  <c r="D33" i="90"/>
  <c r="C33" i="90"/>
  <c r="B33" i="90"/>
  <c r="I32" i="90"/>
  <c r="I33" i="90" s="1"/>
  <c r="I31" i="90"/>
  <c r="H26" i="90"/>
  <c r="E26" i="90"/>
  <c r="K26" i="90" s="1"/>
  <c r="L26" i="90" s="1"/>
  <c r="D26" i="90"/>
  <c r="C26" i="90"/>
  <c r="B26" i="90"/>
  <c r="I25" i="90"/>
  <c r="I26" i="90" s="1"/>
  <c r="I24" i="90"/>
  <c r="I19" i="90"/>
  <c r="H19" i="90"/>
  <c r="E19" i="90"/>
  <c r="K19" i="90" s="1"/>
  <c r="L19" i="90" s="1"/>
  <c r="D19" i="90"/>
  <c r="C19" i="90"/>
  <c r="B19" i="90"/>
  <c r="I18" i="90"/>
  <c r="I17" i="90"/>
  <c r="K11" i="90"/>
  <c r="L11" i="90" s="1"/>
  <c r="I11" i="90"/>
  <c r="H11" i="90"/>
  <c r="E11" i="90"/>
  <c r="D11" i="90"/>
  <c r="C11" i="90"/>
  <c r="B11" i="90"/>
  <c r="I10" i="90"/>
  <c r="I9" i="90"/>
  <c r="I56" i="90" s="1"/>
  <c r="I59" i="90" s="1"/>
  <c r="H68" i="89"/>
  <c r="D68" i="89"/>
  <c r="C68" i="89"/>
  <c r="B68" i="89"/>
  <c r="H67" i="89"/>
  <c r="E67" i="89"/>
  <c r="D67" i="89"/>
  <c r="C67" i="89"/>
  <c r="B67" i="89"/>
  <c r="H66" i="89"/>
  <c r="E66" i="89"/>
  <c r="D66" i="89"/>
  <c r="C66" i="89"/>
  <c r="B66" i="89"/>
  <c r="E65" i="89"/>
  <c r="D65" i="89"/>
  <c r="C65" i="89"/>
  <c r="B65" i="89"/>
  <c r="D64" i="89"/>
  <c r="C64" i="89"/>
  <c r="B64" i="89"/>
  <c r="E63" i="89"/>
  <c r="D63" i="89"/>
  <c r="C63" i="89"/>
  <c r="B63" i="89"/>
  <c r="E62" i="89"/>
  <c r="D62" i="89"/>
  <c r="C62" i="89"/>
  <c r="B62" i="89"/>
  <c r="I59" i="89"/>
  <c r="H59" i="89"/>
  <c r="D59" i="89"/>
  <c r="C59" i="89"/>
  <c r="B59" i="89"/>
  <c r="E58" i="89"/>
  <c r="E57" i="89"/>
  <c r="E56" i="89"/>
  <c r="E64" i="89" s="1"/>
  <c r="I55" i="89"/>
  <c r="I50" i="89"/>
  <c r="H50" i="89"/>
  <c r="D50" i="89"/>
  <c r="C50" i="89"/>
  <c r="B50" i="89"/>
  <c r="E49" i="89"/>
  <c r="E50" i="89" s="1"/>
  <c r="K41" i="89"/>
  <c r="L41" i="89" s="1"/>
  <c r="H41" i="89"/>
  <c r="E41" i="89"/>
  <c r="D41" i="89"/>
  <c r="C41" i="89"/>
  <c r="B41" i="89"/>
  <c r="I40" i="89"/>
  <c r="I39" i="89"/>
  <c r="I41" i="89" s="1"/>
  <c r="H32" i="89"/>
  <c r="D32" i="89"/>
  <c r="C32" i="89"/>
  <c r="B32" i="89"/>
  <c r="I31" i="89"/>
  <c r="I68" i="89" s="1"/>
  <c r="E31" i="89"/>
  <c r="E32" i="89" s="1"/>
  <c r="K32" i="89" s="1"/>
  <c r="L32" i="89" s="1"/>
  <c r="I30" i="89"/>
  <c r="I32" i="89" s="1"/>
  <c r="H23" i="89"/>
  <c r="D23" i="89"/>
  <c r="C23" i="89"/>
  <c r="B23" i="89"/>
  <c r="E22" i="89"/>
  <c r="I20" i="89"/>
  <c r="I67" i="89" s="1"/>
  <c r="I19" i="89"/>
  <c r="I23" i="89" s="1"/>
  <c r="K14" i="89"/>
  <c r="L14" i="89" s="1"/>
  <c r="I14" i="89"/>
  <c r="H14" i="89"/>
  <c r="E14" i="89"/>
  <c r="D14" i="89"/>
  <c r="C14" i="89"/>
  <c r="B14" i="89"/>
  <c r="I10" i="89"/>
  <c r="I66" i="89" s="1"/>
  <c r="D62" i="88"/>
  <c r="C62" i="88"/>
  <c r="B62" i="88"/>
  <c r="D61" i="88"/>
  <c r="C61" i="88"/>
  <c r="B61" i="88"/>
  <c r="H60" i="88"/>
  <c r="D60" i="88"/>
  <c r="C60" i="88"/>
  <c r="B60" i="88"/>
  <c r="H59" i="88"/>
  <c r="D59" i="88"/>
  <c r="C59" i="88"/>
  <c r="B59" i="88"/>
  <c r="H58" i="88"/>
  <c r="D58" i="88"/>
  <c r="C58" i="88"/>
  <c r="B58" i="88"/>
  <c r="H57" i="88"/>
  <c r="E57" i="88"/>
  <c r="D57" i="88"/>
  <c r="C57" i="88"/>
  <c r="B57" i="88"/>
  <c r="D56" i="88"/>
  <c r="C56" i="88"/>
  <c r="B56" i="88"/>
  <c r="D55" i="88"/>
  <c r="C55" i="88"/>
  <c r="B55" i="88"/>
  <c r="B54" i="88"/>
  <c r="D53" i="88"/>
  <c r="C53" i="88"/>
  <c r="B53" i="88"/>
  <c r="H50" i="88"/>
  <c r="E50" i="88"/>
  <c r="K50" i="88" s="1"/>
  <c r="L50" i="88" s="1"/>
  <c r="D50" i="88"/>
  <c r="C50" i="88"/>
  <c r="B50" i="88"/>
  <c r="B63" i="88" s="1"/>
  <c r="I49" i="88"/>
  <c r="I48" i="88"/>
  <c r="H40" i="88"/>
  <c r="D40" i="88"/>
  <c r="C40" i="88"/>
  <c r="B40" i="88"/>
  <c r="I39" i="88"/>
  <c r="H39" i="88"/>
  <c r="H62" i="88" s="1"/>
  <c r="E39" i="88"/>
  <c r="I38" i="88"/>
  <c r="I60" i="88" s="1"/>
  <c r="E38" i="88"/>
  <c r="I37" i="88"/>
  <c r="I59" i="88" s="1"/>
  <c r="E37" i="88"/>
  <c r="I36" i="88"/>
  <c r="I40" i="88" s="1"/>
  <c r="E36" i="88"/>
  <c r="I35" i="88"/>
  <c r="E35" i="88"/>
  <c r="E55" i="88" s="1"/>
  <c r="E34" i="88"/>
  <c r="E33" i="88"/>
  <c r="D30" i="88"/>
  <c r="C30" i="88"/>
  <c r="B30" i="88"/>
  <c r="I29" i="88"/>
  <c r="I62" i="88" s="1"/>
  <c r="E29" i="88"/>
  <c r="H28" i="88"/>
  <c r="I28" i="88" s="1"/>
  <c r="E28" i="88"/>
  <c r="I27" i="88"/>
  <c r="E27" i="88"/>
  <c r="I26" i="88"/>
  <c r="E26" i="88"/>
  <c r="E59" i="88" s="1"/>
  <c r="E25" i="88"/>
  <c r="E24" i="88"/>
  <c r="E56" i="88" s="1"/>
  <c r="E23" i="88"/>
  <c r="E22" i="88"/>
  <c r="D19" i="88"/>
  <c r="C19" i="88"/>
  <c r="B19" i="88"/>
  <c r="I18" i="88"/>
  <c r="E18" i="88"/>
  <c r="I17" i="88"/>
  <c r="E17" i="88"/>
  <c r="E16" i="88"/>
  <c r="E15" i="88"/>
  <c r="H12" i="88"/>
  <c r="B12" i="88"/>
  <c r="I11" i="88"/>
  <c r="I58" i="88" s="1"/>
  <c r="E11" i="88"/>
  <c r="E61" i="88" s="1"/>
  <c r="I10" i="88"/>
  <c r="E10" i="88"/>
  <c r="D9" i="88"/>
  <c r="E9" i="88" s="1"/>
  <c r="C9" i="88"/>
  <c r="C54" i="88" s="1"/>
  <c r="B9" i="88"/>
  <c r="E8" i="88"/>
  <c r="E68" i="89" l="1"/>
  <c r="D69" i="89"/>
  <c r="D70" i="89" s="1"/>
  <c r="B69" i="89"/>
  <c r="B70" i="89" s="1"/>
  <c r="H69" i="89"/>
  <c r="C69" i="89"/>
  <c r="C70" i="89" s="1"/>
  <c r="Q40" i="90"/>
  <c r="S40" i="90" s="1"/>
  <c r="R40" i="90"/>
  <c r="T40" i="90"/>
  <c r="O26" i="90"/>
  <c r="Q26" i="90"/>
  <c r="R26" i="90"/>
  <c r="P26" i="90"/>
  <c r="T26" i="90"/>
  <c r="T48" i="90"/>
  <c r="R48" i="90"/>
  <c r="S48" i="90" s="1"/>
  <c r="P33" i="90"/>
  <c r="Q33" i="90"/>
  <c r="T33" i="90"/>
  <c r="R33" i="90"/>
  <c r="O19" i="90"/>
  <c r="N19" i="90"/>
  <c r="S19" i="90" s="1"/>
  <c r="Q19" i="90"/>
  <c r="P19" i="90"/>
  <c r="T19" i="90"/>
  <c r="R19" i="90"/>
  <c r="P11" i="90"/>
  <c r="O11" i="90"/>
  <c r="N11" i="90"/>
  <c r="Q11" i="90"/>
  <c r="Q59" i="90" s="1"/>
  <c r="M11" i="90"/>
  <c r="T11" i="90"/>
  <c r="R11" i="90"/>
  <c r="R41" i="89"/>
  <c r="Q41" i="89"/>
  <c r="P41" i="89"/>
  <c r="T41" i="89" s="1"/>
  <c r="U41" i="89"/>
  <c r="S41" i="89"/>
  <c r="R32" i="89"/>
  <c r="Q32" i="89"/>
  <c r="P32" i="89"/>
  <c r="O32" i="89"/>
  <c r="U32" i="89"/>
  <c r="S32" i="89"/>
  <c r="O14" i="89"/>
  <c r="N14" i="89"/>
  <c r="S14" i="89"/>
  <c r="U14" i="89"/>
  <c r="M14" i="89"/>
  <c r="R14" i="89"/>
  <c r="Q14" i="89"/>
  <c r="P14" i="89"/>
  <c r="I69" i="89"/>
  <c r="E59" i="89"/>
  <c r="E23" i="89"/>
  <c r="K23" i="89" s="1"/>
  <c r="L23" i="89" s="1"/>
  <c r="E53" i="88"/>
  <c r="E60" i="88"/>
  <c r="H61" i="88"/>
  <c r="H63" i="88" s="1"/>
  <c r="H66" i="88" s="1"/>
  <c r="E40" i="88"/>
  <c r="K40" i="88" s="1"/>
  <c r="L40" i="88" s="1"/>
  <c r="R40" i="88" s="1"/>
  <c r="E30" i="88"/>
  <c r="K30" i="88" s="1"/>
  <c r="L30" i="88" s="1"/>
  <c r="P30" i="88" s="1"/>
  <c r="B66" i="88"/>
  <c r="E19" i="88"/>
  <c r="K19" i="88" s="1"/>
  <c r="L19" i="88" s="1"/>
  <c r="E58" i="88"/>
  <c r="I57" i="88"/>
  <c r="I19" i="88"/>
  <c r="E62" i="88"/>
  <c r="I50" i="88"/>
  <c r="R50" i="88"/>
  <c r="S50" i="88" s="1"/>
  <c r="T50" i="88"/>
  <c r="E12" i="88"/>
  <c r="K12" i="88" s="1"/>
  <c r="L12" i="88" s="1"/>
  <c r="E54" i="88"/>
  <c r="R19" i="88"/>
  <c r="P19" i="88"/>
  <c r="Q19" i="88"/>
  <c r="O19" i="88"/>
  <c r="T19" i="88"/>
  <c r="T40" i="88"/>
  <c r="Q40" i="88"/>
  <c r="I61" i="88"/>
  <c r="I63" i="88" s="1"/>
  <c r="I30" i="88"/>
  <c r="D54" i="88"/>
  <c r="C12" i="88"/>
  <c r="C63" i="88" s="1"/>
  <c r="C66" i="88" s="1"/>
  <c r="E63" i="88"/>
  <c r="D12" i="88"/>
  <c r="D63" i="88" s="1"/>
  <c r="H30" i="88"/>
  <c r="I12" i="88"/>
  <c r="P59" i="90" l="1"/>
  <c r="S26" i="90"/>
  <c r="R59" i="90"/>
  <c r="S33" i="90"/>
  <c r="O59" i="90"/>
  <c r="T59" i="90"/>
  <c r="N59" i="90"/>
  <c r="S11" i="90"/>
  <c r="S59" i="90" s="1"/>
  <c r="M59" i="90"/>
  <c r="T32" i="89"/>
  <c r="M69" i="89"/>
  <c r="M71" i="89" s="1"/>
  <c r="T14" i="89"/>
  <c r="S23" i="89"/>
  <c r="P23" i="89"/>
  <c r="P69" i="89" s="1"/>
  <c r="P71" i="89" s="1"/>
  <c r="R23" i="89"/>
  <c r="Q23" i="89"/>
  <c r="Q69" i="89" s="1"/>
  <c r="Q71" i="89" s="1"/>
  <c r="O23" i="89"/>
  <c r="O69" i="89" s="1"/>
  <c r="O71" i="89" s="1"/>
  <c r="N23" i="89"/>
  <c r="U23" i="89"/>
  <c r="E69" i="89"/>
  <c r="K59" i="89"/>
  <c r="L59" i="89" s="1"/>
  <c r="N69" i="89"/>
  <c r="N71" i="89" s="1"/>
  <c r="S30" i="88"/>
  <c r="S19" i="88"/>
  <c r="R30" i="88"/>
  <c r="T30" i="88"/>
  <c r="D66" i="88"/>
  <c r="Q30" i="88"/>
  <c r="S40" i="88"/>
  <c r="I66" i="88"/>
  <c r="E66" i="88"/>
  <c r="K63" i="88"/>
  <c r="L63" i="88" s="1"/>
  <c r="P12" i="88"/>
  <c r="P63" i="88" s="1"/>
  <c r="P65" i="88" s="1"/>
  <c r="R12" i="88"/>
  <c r="R63" i="88" s="1"/>
  <c r="R65" i="88" s="1"/>
  <c r="Q12" i="88"/>
  <c r="Q63" i="88" s="1"/>
  <c r="Q65" i="88" s="1"/>
  <c r="T12" i="88"/>
  <c r="T63" i="88" s="1"/>
  <c r="O12" i="88"/>
  <c r="O63" i="88" s="1"/>
  <c r="O65" i="88" s="1"/>
  <c r="N12" i="88"/>
  <c r="T23" i="89" l="1"/>
  <c r="U69" i="89"/>
  <c r="U71" i="89" s="1"/>
  <c r="S59" i="89"/>
  <c r="S69" i="89" s="1"/>
  <c r="S71" i="89" s="1"/>
  <c r="R59" i="89"/>
  <c r="U59" i="89"/>
  <c r="E70" i="89"/>
  <c r="K69" i="89"/>
  <c r="L69" i="89" s="1"/>
  <c r="N63" i="88"/>
  <c r="S12" i="88"/>
  <c r="T59" i="89" l="1"/>
  <c r="T69" i="89" s="1"/>
  <c r="T71" i="89" s="1"/>
  <c r="R69" i="89"/>
  <c r="R71" i="89" s="1"/>
  <c r="N65" i="88"/>
  <c r="S63" i="88"/>
  <c r="S65" i="88" s="1"/>
  <c r="H25" i="85" l="1"/>
  <c r="H26" i="85"/>
  <c r="H24" i="85"/>
  <c r="AZ223" i="68"/>
  <c r="AY223" i="68"/>
  <c r="G94" i="85" l="1"/>
  <c r="C92" i="85"/>
  <c r="G88" i="85"/>
  <c r="G89" i="85"/>
  <c r="G90" i="85"/>
  <c r="G91" i="85"/>
  <c r="G92" i="85"/>
  <c r="G87" i="85"/>
  <c r="G70" i="85"/>
  <c r="G64" i="85"/>
  <c r="G65" i="85"/>
  <c r="G66" i="85"/>
  <c r="G67" i="85"/>
  <c r="G68" i="85"/>
  <c r="G63" i="85"/>
  <c r="G45" i="85"/>
  <c r="G41" i="85"/>
  <c r="G42" i="85"/>
  <c r="G43" i="85"/>
  <c r="G44" i="85"/>
  <c r="G40" i="85"/>
  <c r="G93" i="85"/>
  <c r="C88" i="85"/>
  <c r="C89" i="85" s="1"/>
  <c r="C90" i="85" s="1"/>
  <c r="C91" i="85" s="1"/>
  <c r="C87" i="85"/>
  <c r="C40" i="85"/>
  <c r="C41" i="85" s="1"/>
  <c r="C42" i="85" s="1"/>
  <c r="C43" i="85" s="1"/>
  <c r="C44" i="85" s="1"/>
  <c r="G95" i="85" l="1"/>
  <c r="G96" i="85" s="1"/>
  <c r="Q48" i="85"/>
  <c r="Q38" i="85"/>
  <c r="Q37" i="85"/>
  <c r="Q36" i="85"/>
  <c r="Q35" i="85"/>
  <c r="P34" i="85"/>
  <c r="Q34" i="85" s="1"/>
  <c r="P33" i="85"/>
  <c r="Q33" i="85" s="1"/>
  <c r="L48" i="85"/>
  <c r="L42" i="85"/>
  <c r="L41" i="85"/>
  <c r="K41" i="85"/>
  <c r="K40" i="85"/>
  <c r="L40" i="85" s="1"/>
  <c r="L39" i="85"/>
  <c r="K38" i="85"/>
  <c r="L38" i="85" s="1"/>
  <c r="L37" i="85"/>
  <c r="L36" i="85"/>
  <c r="K35" i="85"/>
  <c r="L35" i="85" s="1"/>
  <c r="K34" i="85"/>
  <c r="L34" i="85" s="1"/>
  <c r="K33" i="85"/>
  <c r="L33" i="85" s="1"/>
  <c r="L92" i="85"/>
  <c r="Q70" i="85"/>
  <c r="L70" i="85"/>
  <c r="F26" i="85"/>
  <c r="F25" i="85"/>
  <c r="F24" i="85"/>
  <c r="E87" i="85"/>
  <c r="E88" i="85" s="1"/>
  <c r="E89" i="85" s="1"/>
  <c r="E90" i="85" s="1"/>
  <c r="E91" i="85" s="1"/>
  <c r="E92" i="85" s="1"/>
  <c r="E41" i="85"/>
  <c r="E42" i="85" s="1"/>
  <c r="E43" i="85" s="1"/>
  <c r="E44" i="85" s="1"/>
  <c r="G46" i="85" s="1"/>
  <c r="E40" i="85"/>
  <c r="AA712" i="79" l="1"/>
  <c r="Z712" i="79"/>
  <c r="AA693" i="79"/>
  <c r="Z693" i="79"/>
  <c r="AA690" i="79"/>
  <c r="Z690" i="79"/>
  <c r="AA501" i="79"/>
  <c r="Z501" i="79"/>
  <c r="AA493" i="79"/>
  <c r="Z493" i="79"/>
  <c r="J712" i="79" l="1"/>
  <c r="K712" i="79"/>
  <c r="L712" i="79"/>
  <c r="M712" i="79"/>
  <c r="D712" i="79"/>
  <c r="E696" i="79"/>
  <c r="J696" i="79"/>
  <c r="K696" i="79"/>
  <c r="L696" i="79"/>
  <c r="M696" i="79"/>
  <c r="D696" i="79"/>
  <c r="E693" i="79"/>
  <c r="F693" i="79"/>
  <c r="G693" i="79"/>
  <c r="H693" i="79"/>
  <c r="I693" i="79"/>
  <c r="J693" i="79"/>
  <c r="K693" i="79"/>
  <c r="L693" i="79"/>
  <c r="M693" i="79"/>
  <c r="D693" i="79"/>
  <c r="E690" i="79"/>
  <c r="J690" i="79"/>
  <c r="K690" i="79"/>
  <c r="L690" i="79"/>
  <c r="M690" i="79"/>
  <c r="D690" i="79"/>
  <c r="E683" i="79"/>
  <c r="F683" i="79"/>
  <c r="G683" i="79"/>
  <c r="H683" i="79"/>
  <c r="I683" i="79"/>
  <c r="J683" i="79"/>
  <c r="K683" i="79"/>
  <c r="L683" i="79"/>
  <c r="M683" i="79"/>
  <c r="E677" i="79"/>
  <c r="F677" i="79"/>
  <c r="G677" i="79"/>
  <c r="H677" i="79"/>
  <c r="I677" i="79"/>
  <c r="J677" i="79"/>
  <c r="K677" i="79"/>
  <c r="L677" i="79"/>
  <c r="M677" i="79"/>
  <c r="D677" i="79"/>
  <c r="E674" i="79"/>
  <c r="F674" i="79"/>
  <c r="G674" i="79"/>
  <c r="H674" i="79"/>
  <c r="I674" i="79"/>
  <c r="J674" i="79"/>
  <c r="K674" i="79"/>
  <c r="L674" i="79"/>
  <c r="M674" i="79"/>
  <c r="D674" i="79"/>
  <c r="O767" i="79" l="1"/>
  <c r="J764" i="79"/>
  <c r="K764" i="79"/>
  <c r="L764" i="79"/>
  <c r="M764" i="79"/>
  <c r="D764" i="79"/>
  <c r="D767" i="79" s="1"/>
  <c r="AM764" i="79"/>
  <c r="P575" i="79" l="1"/>
  <c r="Q575" i="79"/>
  <c r="R575" i="79"/>
  <c r="S575" i="79"/>
  <c r="T575" i="79"/>
  <c r="U575" i="79"/>
  <c r="V575" i="79"/>
  <c r="W575" i="79"/>
  <c r="X575" i="79"/>
  <c r="O575" i="79"/>
  <c r="E575" i="79"/>
  <c r="F575" i="79"/>
  <c r="G575" i="79"/>
  <c r="H575" i="79"/>
  <c r="I575" i="79"/>
  <c r="J575" i="79"/>
  <c r="K575" i="79"/>
  <c r="L575" i="79"/>
  <c r="M575" i="79"/>
  <c r="D575" i="79"/>
  <c r="AL576" i="79"/>
  <c r="AK576" i="79"/>
  <c r="AJ576" i="79"/>
  <c r="AI576" i="79"/>
  <c r="AH576" i="79"/>
  <c r="AG576" i="79"/>
  <c r="AF576" i="79"/>
  <c r="AE576" i="79"/>
  <c r="AD576" i="79"/>
  <c r="AC576" i="79"/>
  <c r="AB576" i="79"/>
  <c r="AA576" i="79"/>
  <c r="Z576" i="79"/>
  <c r="Y576" i="79"/>
  <c r="AM575" i="79"/>
  <c r="P529" i="79"/>
  <c r="Q529" i="79"/>
  <c r="R529" i="79"/>
  <c r="S529" i="79"/>
  <c r="T529" i="79"/>
  <c r="U529" i="79"/>
  <c r="V529" i="79"/>
  <c r="W529" i="79"/>
  <c r="X529" i="79"/>
  <c r="O529" i="79"/>
  <c r="E529" i="79"/>
  <c r="F529" i="79"/>
  <c r="G529" i="79"/>
  <c r="H529" i="79"/>
  <c r="I529" i="79"/>
  <c r="J529" i="79"/>
  <c r="K529" i="79"/>
  <c r="L529" i="79"/>
  <c r="M529" i="79"/>
  <c r="D529" i="79"/>
  <c r="AL530" i="79"/>
  <c r="AK530" i="79"/>
  <c r="AJ530" i="79"/>
  <c r="AI530" i="79"/>
  <c r="AH530" i="79"/>
  <c r="AG530" i="79"/>
  <c r="AF530" i="79"/>
  <c r="AE530" i="79"/>
  <c r="AD530" i="79"/>
  <c r="AC530" i="79"/>
  <c r="AB530" i="79"/>
  <c r="AA530" i="79"/>
  <c r="Z530" i="79"/>
  <c r="Y530" i="79"/>
  <c r="N530" i="79"/>
  <c r="AM529" i="79"/>
  <c r="P526" i="79"/>
  <c r="Q526" i="79"/>
  <c r="R526" i="79"/>
  <c r="S526" i="79"/>
  <c r="T526" i="79"/>
  <c r="U526" i="79"/>
  <c r="V526" i="79"/>
  <c r="W526" i="79"/>
  <c r="X526" i="79"/>
  <c r="O526" i="79"/>
  <c r="E526" i="79"/>
  <c r="F526" i="79"/>
  <c r="G526" i="79"/>
  <c r="H526" i="79"/>
  <c r="I526" i="79"/>
  <c r="J526" i="79"/>
  <c r="K526" i="79"/>
  <c r="L526" i="79"/>
  <c r="M526" i="79"/>
  <c r="D526" i="79"/>
  <c r="AL527" i="79"/>
  <c r="AK527" i="79"/>
  <c r="AJ527" i="79"/>
  <c r="AI527" i="79"/>
  <c r="AH527" i="79"/>
  <c r="AG527" i="79"/>
  <c r="AF527" i="79"/>
  <c r="AE527" i="79"/>
  <c r="AD527" i="79"/>
  <c r="AC527" i="79"/>
  <c r="AB527" i="79"/>
  <c r="AA527" i="79"/>
  <c r="Z527" i="79"/>
  <c r="Y527" i="79"/>
  <c r="N527" i="79"/>
  <c r="AM526" i="79"/>
  <c r="AY213" i="68"/>
  <c r="AZ213" i="68" s="1"/>
  <c r="BA213" i="68" s="1"/>
  <c r="BB213" i="68" s="1"/>
  <c r="AX213" i="68"/>
  <c r="AX212" i="68"/>
  <c r="AY212" i="68" s="1"/>
  <c r="AZ212" i="68" s="1"/>
  <c r="BA212" i="68" s="1"/>
  <c r="BB212" i="68" s="1"/>
  <c r="AX211" i="68"/>
  <c r="AY211" i="68" s="1"/>
  <c r="AZ211" i="68" s="1"/>
  <c r="BA211" i="68" s="1"/>
  <c r="BB211" i="68" s="1"/>
  <c r="E513" i="79"/>
  <c r="F513" i="79"/>
  <c r="G513" i="79"/>
  <c r="H513" i="79"/>
  <c r="I513" i="79"/>
  <c r="J513" i="79"/>
  <c r="K513" i="79"/>
  <c r="L513" i="79"/>
  <c r="M513" i="79"/>
  <c r="D513" i="79"/>
  <c r="F696" i="79" l="1"/>
  <c r="F690" i="79"/>
  <c r="G696" i="79" l="1"/>
  <c r="G690" i="79"/>
  <c r="I696" i="79" l="1"/>
  <c r="H696" i="79"/>
  <c r="I690" i="79"/>
  <c r="H690" i="79"/>
  <c r="AA494" i="79" l="1"/>
  <c r="Z494" i="79"/>
  <c r="F494" i="79" l="1"/>
  <c r="G494" i="79"/>
  <c r="D494" i="79" l="1"/>
  <c r="AW223" i="68"/>
  <c r="E494" i="79"/>
  <c r="AX223" i="68"/>
  <c r="E63" i="85"/>
  <c r="C62" i="85" l="1"/>
  <c r="E64" i="85"/>
  <c r="E65" i="85" l="1"/>
  <c r="E66" i="85" l="1"/>
  <c r="E67" i="85" l="1"/>
  <c r="E68" i="85" l="1"/>
  <c r="Q92" i="85" l="1"/>
  <c r="C86" i="85" l="1"/>
  <c r="C63" i="85"/>
  <c r="C64" i="85" l="1"/>
  <c r="C65" i="85" s="1"/>
  <c r="C66" i="85" s="1"/>
  <c r="C67" i="85" s="1"/>
  <c r="C68" i="85" s="1"/>
  <c r="G69" i="85"/>
  <c r="G23" i="85" l="1"/>
  <c r="G71" i="85"/>
  <c r="G72" i="85" s="1"/>
  <c r="G26" i="85" s="1"/>
  <c r="F42" i="85"/>
  <c r="G25" i="85" l="1"/>
  <c r="G24" i="85"/>
  <c r="F43" i="85"/>
  <c r="H23" i="85"/>
  <c r="F44" i="85" l="1"/>
  <c r="X510" i="46" l="1"/>
  <c r="W510" i="46"/>
  <c r="V510" i="46"/>
  <c r="U510" i="46"/>
  <c r="T510" i="46"/>
  <c r="S510" i="46"/>
  <c r="R510" i="46"/>
  <c r="Q510" i="46"/>
  <c r="P510" i="46"/>
  <c r="O510" i="46"/>
  <c r="M510" i="46"/>
  <c r="L510" i="46"/>
  <c r="K510" i="46"/>
  <c r="J510" i="46"/>
  <c r="I510" i="46"/>
  <c r="H510" i="46"/>
  <c r="G510" i="46"/>
  <c r="F510" i="46"/>
  <c r="E510" i="46"/>
  <c r="D510" i="46"/>
  <c r="X507" i="46"/>
  <c r="W507" i="46"/>
  <c r="V507" i="46"/>
  <c r="U507" i="46"/>
  <c r="T507" i="46"/>
  <c r="S507" i="46"/>
  <c r="R507" i="46"/>
  <c r="Q507" i="46"/>
  <c r="P507" i="46"/>
  <c r="O507" i="46"/>
  <c r="M507" i="46"/>
  <c r="L507" i="46"/>
  <c r="K507" i="46"/>
  <c r="J507" i="46"/>
  <c r="I507" i="46"/>
  <c r="H507" i="46"/>
  <c r="G507" i="46"/>
  <c r="F507" i="46"/>
  <c r="E507" i="46"/>
  <c r="D507" i="46"/>
  <c r="X477" i="46"/>
  <c r="W477" i="46"/>
  <c r="V477" i="46"/>
  <c r="U477" i="46"/>
  <c r="T477" i="46"/>
  <c r="S477" i="46"/>
  <c r="R477" i="46"/>
  <c r="Q477" i="46"/>
  <c r="P477" i="46"/>
  <c r="O477" i="46"/>
  <c r="M477" i="46"/>
  <c r="L477" i="46"/>
  <c r="K477" i="46"/>
  <c r="J477" i="46"/>
  <c r="I477" i="46"/>
  <c r="H477" i="46"/>
  <c r="G477" i="46"/>
  <c r="F477" i="46"/>
  <c r="E477" i="46"/>
  <c r="D477" i="46"/>
  <c r="X473" i="46"/>
  <c r="W473" i="46"/>
  <c r="V473" i="46"/>
  <c r="U473" i="46"/>
  <c r="T473" i="46"/>
  <c r="S473" i="46"/>
  <c r="R473" i="46"/>
  <c r="Q473" i="46"/>
  <c r="P473" i="46"/>
  <c r="O473" i="46"/>
  <c r="M473" i="46"/>
  <c r="L473" i="46"/>
  <c r="K473" i="46"/>
  <c r="J473" i="46"/>
  <c r="I473" i="46"/>
  <c r="H473" i="46"/>
  <c r="G473" i="46"/>
  <c r="F473" i="46"/>
  <c r="E473" i="46"/>
  <c r="D473" i="46"/>
  <c r="X467" i="46"/>
  <c r="W467" i="46"/>
  <c r="V467" i="46"/>
  <c r="U467" i="46"/>
  <c r="T467" i="46"/>
  <c r="S467" i="46"/>
  <c r="R467" i="46"/>
  <c r="Q467" i="46"/>
  <c r="P467" i="46"/>
  <c r="O467" i="46"/>
  <c r="M467" i="46"/>
  <c r="L467" i="46"/>
  <c r="K467" i="46"/>
  <c r="J467" i="46"/>
  <c r="I467" i="46"/>
  <c r="H467" i="46"/>
  <c r="G467" i="46"/>
  <c r="F467" i="46"/>
  <c r="E467" i="46"/>
  <c r="D467" i="46"/>
  <c r="X457" i="46"/>
  <c r="W457" i="46"/>
  <c r="V457" i="46"/>
  <c r="U457" i="46"/>
  <c r="T457" i="46"/>
  <c r="S457" i="46"/>
  <c r="R457" i="46"/>
  <c r="Q457" i="46"/>
  <c r="P457" i="46"/>
  <c r="O457" i="46"/>
  <c r="M457" i="46"/>
  <c r="L457" i="46"/>
  <c r="K457" i="46"/>
  <c r="J457" i="46"/>
  <c r="I457" i="46"/>
  <c r="H457" i="46"/>
  <c r="G457" i="46"/>
  <c r="F457" i="46"/>
  <c r="E457" i="46"/>
  <c r="D457" i="46"/>
  <c r="X451" i="46"/>
  <c r="W451" i="46"/>
  <c r="V451" i="46"/>
  <c r="U451" i="46"/>
  <c r="T451" i="46"/>
  <c r="S451" i="46"/>
  <c r="R451" i="46"/>
  <c r="Q451" i="46"/>
  <c r="P451" i="46"/>
  <c r="O451" i="46"/>
  <c r="M451" i="46"/>
  <c r="L451" i="46"/>
  <c r="K451" i="46"/>
  <c r="J451" i="46"/>
  <c r="I451" i="46"/>
  <c r="H451" i="46"/>
  <c r="G451" i="46"/>
  <c r="F451" i="46"/>
  <c r="E451" i="46"/>
  <c r="D451" i="46"/>
  <c r="X448" i="46"/>
  <c r="W448" i="46"/>
  <c r="V448" i="46"/>
  <c r="U448" i="46"/>
  <c r="T448" i="46"/>
  <c r="S448" i="46"/>
  <c r="R448" i="46"/>
  <c r="Q448" i="46"/>
  <c r="P448" i="46"/>
  <c r="O448" i="46"/>
  <c r="M448" i="46"/>
  <c r="L448" i="46"/>
  <c r="K448" i="46"/>
  <c r="J448" i="46"/>
  <c r="I448" i="46"/>
  <c r="H448" i="46"/>
  <c r="G448" i="46"/>
  <c r="F448" i="46"/>
  <c r="E448" i="46"/>
  <c r="D448" i="46"/>
  <c r="X445" i="46"/>
  <c r="W445" i="46"/>
  <c r="V445" i="46"/>
  <c r="U445" i="46"/>
  <c r="T445" i="46"/>
  <c r="S445" i="46"/>
  <c r="R445" i="46"/>
  <c r="Q445" i="46"/>
  <c r="P445" i="46"/>
  <c r="O445" i="46"/>
  <c r="M445" i="46"/>
  <c r="L445" i="46"/>
  <c r="K445" i="46"/>
  <c r="J445" i="46"/>
  <c r="I445" i="46"/>
  <c r="H445" i="46"/>
  <c r="G445" i="46"/>
  <c r="F445" i="46"/>
  <c r="E445" i="46"/>
  <c r="D445" i="46"/>
  <c r="X439" i="46"/>
  <c r="W439" i="46"/>
  <c r="V439" i="46"/>
  <c r="U439" i="46"/>
  <c r="T439" i="46"/>
  <c r="S439" i="46"/>
  <c r="R439" i="46"/>
  <c r="Q439" i="46"/>
  <c r="P439" i="46"/>
  <c r="O439" i="46"/>
  <c r="M439" i="46"/>
  <c r="L439" i="46"/>
  <c r="K439" i="46"/>
  <c r="J439" i="46"/>
  <c r="I439" i="46"/>
  <c r="H439" i="46"/>
  <c r="G439" i="46"/>
  <c r="F439" i="46"/>
  <c r="E439" i="46"/>
  <c r="D439" i="46"/>
  <c r="X436" i="46"/>
  <c r="W436" i="46"/>
  <c r="V436" i="46"/>
  <c r="U436" i="46"/>
  <c r="T436" i="46"/>
  <c r="S436" i="46"/>
  <c r="R436" i="46"/>
  <c r="Q436" i="46"/>
  <c r="P436" i="46"/>
  <c r="O436" i="46"/>
  <c r="M436" i="46"/>
  <c r="L436" i="46"/>
  <c r="K436" i="46"/>
  <c r="J436" i="46"/>
  <c r="I436" i="46"/>
  <c r="H436" i="46"/>
  <c r="G436" i="46"/>
  <c r="F436" i="46"/>
  <c r="E436" i="46"/>
  <c r="D436" i="46"/>
  <c r="X432" i="46"/>
  <c r="W432" i="46"/>
  <c r="V432" i="46"/>
  <c r="U432" i="46"/>
  <c r="T432" i="46"/>
  <c r="S432" i="46"/>
  <c r="R432" i="46"/>
  <c r="Q432" i="46"/>
  <c r="P432" i="46"/>
  <c r="O432" i="46"/>
  <c r="M432" i="46"/>
  <c r="L432" i="46"/>
  <c r="K432" i="46"/>
  <c r="J432" i="46"/>
  <c r="I432" i="46"/>
  <c r="H432" i="46"/>
  <c r="G432" i="46"/>
  <c r="F432" i="46"/>
  <c r="E432" i="46"/>
  <c r="D432" i="46"/>
  <c r="X426" i="46"/>
  <c r="W426" i="46"/>
  <c r="V426" i="46"/>
  <c r="U426" i="46"/>
  <c r="T426" i="46"/>
  <c r="S426" i="46"/>
  <c r="R426" i="46"/>
  <c r="Q426" i="46"/>
  <c r="P426" i="46"/>
  <c r="O426" i="46"/>
  <c r="M426" i="46"/>
  <c r="L426" i="46"/>
  <c r="K426" i="46"/>
  <c r="J426" i="46"/>
  <c r="I426" i="46"/>
  <c r="H426" i="46"/>
  <c r="G426" i="46"/>
  <c r="F426" i="46"/>
  <c r="E426" i="46"/>
  <c r="D426" i="46"/>
  <c r="X420" i="46"/>
  <c r="W420" i="46"/>
  <c r="V420" i="46"/>
  <c r="U420" i="46"/>
  <c r="T420" i="46"/>
  <c r="S420" i="46"/>
  <c r="R420" i="46"/>
  <c r="Q420" i="46"/>
  <c r="P420" i="46"/>
  <c r="O420" i="46"/>
  <c r="M420" i="46"/>
  <c r="L420" i="46"/>
  <c r="K420" i="46"/>
  <c r="J420" i="46"/>
  <c r="I420" i="46"/>
  <c r="H420" i="46"/>
  <c r="G420" i="46"/>
  <c r="F420" i="46"/>
  <c r="E420" i="46"/>
  <c r="D420" i="46"/>
  <c r="X417" i="46"/>
  <c r="W417" i="46"/>
  <c r="V417" i="46"/>
  <c r="U417" i="46"/>
  <c r="T417" i="46"/>
  <c r="S417" i="46"/>
  <c r="R417" i="46"/>
  <c r="Q417" i="46"/>
  <c r="P417" i="46"/>
  <c r="O417" i="46"/>
  <c r="M417" i="46"/>
  <c r="L417" i="46"/>
  <c r="K417" i="46"/>
  <c r="J417" i="46"/>
  <c r="I417" i="46"/>
  <c r="H417" i="46"/>
  <c r="G417" i="46"/>
  <c r="F417" i="46"/>
  <c r="E417" i="46"/>
  <c r="D417" i="46"/>
  <c r="X414" i="46"/>
  <c r="W414" i="46"/>
  <c r="V414" i="46"/>
  <c r="U414" i="46"/>
  <c r="T414" i="46"/>
  <c r="S414" i="46"/>
  <c r="R414" i="46"/>
  <c r="Q414" i="46"/>
  <c r="P414" i="46"/>
  <c r="O414" i="46"/>
  <c r="M414" i="46"/>
  <c r="L414" i="46"/>
  <c r="K414" i="46"/>
  <c r="J414" i="46"/>
  <c r="I414" i="46"/>
  <c r="H414" i="46"/>
  <c r="G414" i="46"/>
  <c r="F414" i="46"/>
  <c r="E414" i="46"/>
  <c r="D414" i="46"/>
  <c r="X411" i="46"/>
  <c r="W411" i="46"/>
  <c r="V411" i="46"/>
  <c r="U411" i="46"/>
  <c r="T411" i="46"/>
  <c r="S411" i="46"/>
  <c r="R411" i="46"/>
  <c r="Q411" i="46"/>
  <c r="P411" i="46"/>
  <c r="O411" i="46"/>
  <c r="M411" i="46"/>
  <c r="L411" i="46"/>
  <c r="K411" i="46"/>
  <c r="J411" i="46"/>
  <c r="I411" i="46"/>
  <c r="H411" i="46"/>
  <c r="G411" i="46"/>
  <c r="F411" i="46"/>
  <c r="E411" i="46"/>
  <c r="D411" i="46"/>
  <c r="X408" i="46"/>
  <c r="W408" i="46"/>
  <c r="V408" i="46"/>
  <c r="U408" i="46"/>
  <c r="T408" i="46"/>
  <c r="S408" i="46"/>
  <c r="R408" i="46"/>
  <c r="Q408" i="46"/>
  <c r="P408" i="46"/>
  <c r="O408" i="46"/>
  <c r="M408" i="46"/>
  <c r="L408" i="46"/>
  <c r="K408" i="46"/>
  <c r="J408" i="46"/>
  <c r="I408" i="46"/>
  <c r="H408" i="46"/>
  <c r="G408" i="46"/>
  <c r="F408" i="46"/>
  <c r="E408" i="46"/>
  <c r="D408" i="46"/>
  <c r="AA511" i="46"/>
  <c r="Z511" i="46"/>
  <c r="Y511" i="46"/>
  <c r="N511" i="46"/>
  <c r="AA508" i="46"/>
  <c r="Z508" i="46"/>
  <c r="Y508" i="46"/>
  <c r="N508" i="46"/>
  <c r="AA505" i="46"/>
  <c r="Z505" i="46"/>
  <c r="Y505" i="46"/>
  <c r="N505" i="46"/>
  <c r="AA501" i="46"/>
  <c r="Z501" i="46"/>
  <c r="Y501" i="46"/>
  <c r="N501" i="46"/>
  <c r="AA498" i="46"/>
  <c r="Z498" i="46"/>
  <c r="Y498" i="46"/>
  <c r="N498" i="46"/>
  <c r="AA495" i="46"/>
  <c r="Z495" i="46"/>
  <c r="Y495" i="46"/>
  <c r="N495" i="46"/>
  <c r="AA492" i="46"/>
  <c r="Z492" i="46"/>
  <c r="Y492" i="46"/>
  <c r="N492" i="46"/>
  <c r="AA489" i="46"/>
  <c r="Z489" i="46"/>
  <c r="Y489" i="46"/>
  <c r="N489" i="46"/>
  <c r="AA485" i="46"/>
  <c r="Z485" i="46"/>
  <c r="Y485" i="46"/>
  <c r="N485" i="46"/>
  <c r="AA482" i="46"/>
  <c r="Z482" i="46"/>
  <c r="Y482" i="46"/>
  <c r="AA478" i="46"/>
  <c r="Z478" i="46"/>
  <c r="Y478" i="46"/>
  <c r="AA474" i="46"/>
  <c r="Z474" i="46"/>
  <c r="Y474" i="46"/>
  <c r="AA471" i="46"/>
  <c r="Z471" i="46"/>
  <c r="Y471" i="46"/>
  <c r="N471" i="46"/>
  <c r="AA468" i="46"/>
  <c r="Z468" i="46"/>
  <c r="Y468" i="46"/>
  <c r="N468" i="46"/>
  <c r="AA465" i="46"/>
  <c r="Z465" i="46"/>
  <c r="Y465" i="46"/>
  <c r="N465" i="46"/>
  <c r="AA462" i="46"/>
  <c r="Z462" i="46"/>
  <c r="Y462" i="46"/>
  <c r="N462" i="46"/>
  <c r="AA458" i="46"/>
  <c r="Z458" i="46"/>
  <c r="Y458" i="46"/>
  <c r="AA455" i="46"/>
  <c r="Z455" i="46"/>
  <c r="Y455" i="46"/>
  <c r="AA452" i="46"/>
  <c r="Z452" i="46"/>
  <c r="Y452" i="46"/>
  <c r="AA449" i="46"/>
  <c r="Z449" i="46"/>
  <c r="Y449" i="46"/>
  <c r="N449" i="46"/>
  <c r="AA446" i="46"/>
  <c r="Z446" i="46"/>
  <c r="Y446" i="46"/>
  <c r="N446" i="46"/>
  <c r="AA443" i="46"/>
  <c r="Z443" i="46"/>
  <c r="Y443" i="46"/>
  <c r="N443" i="46"/>
  <c r="AA440" i="46"/>
  <c r="Z440" i="46"/>
  <c r="Y440" i="46"/>
  <c r="N440" i="46"/>
  <c r="AA437" i="46"/>
  <c r="Z437" i="46"/>
  <c r="Y437" i="46"/>
  <c r="N437" i="46"/>
  <c r="AA433" i="46"/>
  <c r="Z433" i="46"/>
  <c r="Y433" i="46"/>
  <c r="AA430" i="46"/>
  <c r="Z430" i="46"/>
  <c r="Y430" i="46"/>
  <c r="AA427" i="46"/>
  <c r="Z427" i="46"/>
  <c r="Y427" i="46"/>
  <c r="AA424" i="46"/>
  <c r="Z424" i="46"/>
  <c r="Y424" i="46"/>
  <c r="AA421" i="46"/>
  <c r="Z421" i="46"/>
  <c r="Y421" i="46"/>
  <c r="AA418" i="46"/>
  <c r="Z418" i="46"/>
  <c r="Y418" i="46"/>
  <c r="AA415" i="46"/>
  <c r="Z415" i="46"/>
  <c r="Y415" i="46"/>
  <c r="AA412" i="46"/>
  <c r="Z412" i="46"/>
  <c r="Y412" i="46"/>
  <c r="AA409" i="46"/>
  <c r="Z409" i="46"/>
  <c r="Y409" i="46"/>
  <c r="X375" i="46"/>
  <c r="W375" i="46"/>
  <c r="V375" i="46"/>
  <c r="U375" i="46"/>
  <c r="T375" i="46"/>
  <c r="S375" i="46"/>
  <c r="R375" i="46"/>
  <c r="Q375" i="46"/>
  <c r="P375" i="46"/>
  <c r="O375" i="46"/>
  <c r="M375" i="46"/>
  <c r="L375" i="46"/>
  <c r="K375" i="46"/>
  <c r="J375" i="46"/>
  <c r="I375" i="46"/>
  <c r="H375" i="46"/>
  <c r="G375" i="46"/>
  <c r="F375" i="46"/>
  <c r="E375" i="46"/>
  <c r="D375"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44" i="46"/>
  <c r="W344" i="46"/>
  <c r="V344" i="46"/>
  <c r="U344" i="46"/>
  <c r="T344" i="46"/>
  <c r="S344" i="46"/>
  <c r="R344" i="46"/>
  <c r="Q344" i="46"/>
  <c r="P344" i="46"/>
  <c r="O344" i="46"/>
  <c r="M344" i="46"/>
  <c r="L344" i="46"/>
  <c r="K344" i="46"/>
  <c r="J344" i="46"/>
  <c r="I344" i="46"/>
  <c r="H344" i="46"/>
  <c r="G344" i="46"/>
  <c r="F344" i="46"/>
  <c r="E344" i="46"/>
  <c r="D344" i="46"/>
  <c r="X339" i="46"/>
  <c r="W339" i="46"/>
  <c r="V339" i="46"/>
  <c r="U339" i="46"/>
  <c r="T339" i="46"/>
  <c r="S339" i="46"/>
  <c r="R339" i="46"/>
  <c r="Q339" i="46"/>
  <c r="P339" i="46"/>
  <c r="O339" i="46"/>
  <c r="M339" i="46"/>
  <c r="L339" i="46"/>
  <c r="K339" i="46"/>
  <c r="J339" i="46"/>
  <c r="I339" i="46"/>
  <c r="H339" i="46"/>
  <c r="G339" i="46"/>
  <c r="F339" i="46"/>
  <c r="E339" i="46"/>
  <c r="D339" i="46"/>
  <c r="X329" i="46"/>
  <c r="W329" i="46"/>
  <c r="V329" i="46"/>
  <c r="U329" i="46"/>
  <c r="T329" i="46"/>
  <c r="S329" i="46"/>
  <c r="R329" i="46"/>
  <c r="Q329" i="46"/>
  <c r="P329" i="46"/>
  <c r="O329" i="46"/>
  <c r="X328" i="46"/>
  <c r="W328" i="46"/>
  <c r="V328" i="46"/>
  <c r="U328" i="46"/>
  <c r="T328" i="46"/>
  <c r="S328" i="46"/>
  <c r="R328" i="46"/>
  <c r="Q328" i="46"/>
  <c r="P328" i="46"/>
  <c r="O328" i="46"/>
  <c r="M328" i="46"/>
  <c r="L328" i="46"/>
  <c r="K328" i="46"/>
  <c r="J328" i="46"/>
  <c r="I328" i="46"/>
  <c r="H328" i="46"/>
  <c r="G328" i="46"/>
  <c r="F328" i="46"/>
  <c r="E328" i="46"/>
  <c r="D328" i="46"/>
  <c r="X320" i="46"/>
  <c r="W320" i="46"/>
  <c r="V320" i="46"/>
  <c r="U320" i="46"/>
  <c r="T320" i="46"/>
  <c r="S320" i="46"/>
  <c r="R320" i="46"/>
  <c r="Q320" i="46"/>
  <c r="P320" i="46"/>
  <c r="O320" i="46"/>
  <c r="M320" i="46"/>
  <c r="L320" i="46"/>
  <c r="K320" i="46"/>
  <c r="J320" i="46"/>
  <c r="I320" i="46"/>
  <c r="H320" i="46"/>
  <c r="G320" i="46"/>
  <c r="F320" i="46"/>
  <c r="E320" i="46"/>
  <c r="D320" i="46"/>
  <c r="X319" i="46"/>
  <c r="W319" i="46"/>
  <c r="V319" i="46"/>
  <c r="U319" i="46"/>
  <c r="T319" i="46"/>
  <c r="S319" i="46"/>
  <c r="R319" i="46"/>
  <c r="Q319" i="46"/>
  <c r="P319" i="46"/>
  <c r="O319" i="46"/>
  <c r="M319" i="46"/>
  <c r="L319" i="46"/>
  <c r="K319" i="46"/>
  <c r="J319" i="46"/>
  <c r="I319" i="46"/>
  <c r="H319" i="46"/>
  <c r="G319" i="46"/>
  <c r="F319" i="46"/>
  <c r="E319" i="46"/>
  <c r="D319" i="46"/>
  <c r="X317" i="46"/>
  <c r="W317" i="46"/>
  <c r="V317" i="46"/>
  <c r="U317" i="46"/>
  <c r="T317" i="46"/>
  <c r="S317" i="46"/>
  <c r="R317" i="46"/>
  <c r="Q317" i="46"/>
  <c r="P317" i="46"/>
  <c r="O317" i="46"/>
  <c r="M317" i="46"/>
  <c r="L317" i="46"/>
  <c r="K317" i="46"/>
  <c r="J317" i="46"/>
  <c r="I317" i="46"/>
  <c r="H317" i="46"/>
  <c r="G317" i="46"/>
  <c r="F317" i="46"/>
  <c r="E317" i="46"/>
  <c r="D317" i="46"/>
  <c r="X316" i="46"/>
  <c r="W316" i="46"/>
  <c r="V316" i="46"/>
  <c r="U316" i="46"/>
  <c r="T316" i="46"/>
  <c r="S316" i="46"/>
  <c r="R316" i="46"/>
  <c r="Q316" i="46"/>
  <c r="P316" i="46"/>
  <c r="O316" i="46"/>
  <c r="M316" i="46"/>
  <c r="L316" i="46"/>
  <c r="K316" i="46"/>
  <c r="J316" i="46"/>
  <c r="I316" i="46"/>
  <c r="H316" i="46"/>
  <c r="G316" i="46"/>
  <c r="F316" i="46"/>
  <c r="E316" i="46"/>
  <c r="D316"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298" i="46"/>
  <c r="W298" i="46"/>
  <c r="V298" i="46"/>
  <c r="U298" i="46"/>
  <c r="T298" i="46"/>
  <c r="S298" i="46"/>
  <c r="R298" i="46"/>
  <c r="Q298" i="46"/>
  <c r="P298" i="46"/>
  <c r="O298" i="46"/>
  <c r="M298" i="46"/>
  <c r="L298" i="46"/>
  <c r="K298" i="46"/>
  <c r="J298" i="46"/>
  <c r="I298" i="46"/>
  <c r="H298" i="46"/>
  <c r="G298" i="46"/>
  <c r="F298" i="46"/>
  <c r="E298" i="46"/>
  <c r="D298" i="46"/>
  <c r="X291" i="46"/>
  <c r="W291" i="46"/>
  <c r="V291" i="46"/>
  <c r="U291" i="46"/>
  <c r="T291" i="46"/>
  <c r="S291" i="46"/>
  <c r="R291" i="46"/>
  <c r="Q291" i="46"/>
  <c r="P291" i="46"/>
  <c r="O291" i="46"/>
  <c r="M291" i="46"/>
  <c r="L291" i="46"/>
  <c r="K291" i="46"/>
  <c r="J291" i="46"/>
  <c r="I291" i="46"/>
  <c r="H291" i="46"/>
  <c r="G291" i="46"/>
  <c r="F291" i="46"/>
  <c r="E291" i="46"/>
  <c r="D291" i="46"/>
  <c r="X289" i="46"/>
  <c r="W289" i="46"/>
  <c r="V289" i="46"/>
  <c r="U289" i="46"/>
  <c r="T289" i="46"/>
  <c r="S289" i="46"/>
  <c r="R289" i="46"/>
  <c r="Q289" i="46"/>
  <c r="P289" i="46"/>
  <c r="O289" i="46"/>
  <c r="M289" i="46"/>
  <c r="L289" i="46"/>
  <c r="K289" i="46"/>
  <c r="J289" i="46"/>
  <c r="I289" i="46"/>
  <c r="H289" i="46"/>
  <c r="G289" i="46"/>
  <c r="F289" i="46"/>
  <c r="E289" i="46"/>
  <c r="D289"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79" i="46"/>
  <c r="W279" i="46"/>
  <c r="V279" i="46"/>
  <c r="U279" i="46"/>
  <c r="T279" i="46"/>
  <c r="S279" i="46"/>
  <c r="R279" i="46"/>
  <c r="Q279" i="46"/>
  <c r="P279" i="46"/>
  <c r="O279" i="46"/>
  <c r="M279" i="46"/>
  <c r="L279" i="46"/>
  <c r="K279" i="46"/>
  <c r="J279" i="46"/>
  <c r="I279" i="46"/>
  <c r="H279" i="46"/>
  <c r="G279" i="46"/>
  <c r="F279" i="46"/>
  <c r="E279" i="46"/>
  <c r="D279" i="46"/>
  <c r="AA382" i="46"/>
  <c r="Z382" i="46"/>
  <c r="Y382" i="46"/>
  <c r="N382" i="46"/>
  <c r="AA379" i="46"/>
  <c r="Z379" i="46"/>
  <c r="Y379" i="46"/>
  <c r="N379" i="46"/>
  <c r="AA376" i="46"/>
  <c r="Z376" i="46"/>
  <c r="Y376" i="46"/>
  <c r="N376" i="46"/>
  <c r="AA372" i="46"/>
  <c r="Z372" i="46"/>
  <c r="Y372" i="46"/>
  <c r="N372" i="46"/>
  <c r="AA369" i="46"/>
  <c r="Z369" i="46"/>
  <c r="Y369" i="46"/>
  <c r="N369" i="46"/>
  <c r="AA366" i="46"/>
  <c r="Z366" i="46"/>
  <c r="Y366" i="46"/>
  <c r="N366" i="46"/>
  <c r="AA363" i="46"/>
  <c r="Z363" i="46"/>
  <c r="Y363" i="46"/>
  <c r="N363" i="46"/>
  <c r="AA360" i="46"/>
  <c r="Z360" i="46"/>
  <c r="Y360" i="46"/>
  <c r="N360" i="46"/>
  <c r="AA356" i="46"/>
  <c r="Z356" i="46"/>
  <c r="Y356" i="46"/>
  <c r="N356" i="46"/>
  <c r="AA353" i="46"/>
  <c r="Z353" i="46"/>
  <c r="Y353" i="46"/>
  <c r="AA349" i="46"/>
  <c r="Z349" i="46"/>
  <c r="Y349" i="46"/>
  <c r="AA345" i="46"/>
  <c r="Z345" i="46"/>
  <c r="Y345" i="46"/>
  <c r="AA342" i="46"/>
  <c r="Z342" i="46"/>
  <c r="Y342" i="46"/>
  <c r="N342" i="46"/>
  <c r="AA339" i="46"/>
  <c r="Z339" i="46"/>
  <c r="Y339" i="46"/>
  <c r="N339" i="46"/>
  <c r="AA336" i="46"/>
  <c r="Z336" i="46"/>
  <c r="Y336" i="46"/>
  <c r="N336" i="46"/>
  <c r="AA333" i="46"/>
  <c r="Z333" i="46"/>
  <c r="Y333" i="46"/>
  <c r="N333" i="46"/>
  <c r="AA329" i="46"/>
  <c r="Z329" i="46"/>
  <c r="Y329" i="46"/>
  <c r="AA326" i="46"/>
  <c r="Z326" i="46"/>
  <c r="Y326" i="46"/>
  <c r="AA323" i="46"/>
  <c r="Z323" i="46"/>
  <c r="Y323" i="46"/>
  <c r="AA320" i="46"/>
  <c r="Z320" i="46"/>
  <c r="Y320" i="46"/>
  <c r="N320" i="46"/>
  <c r="AA317" i="46"/>
  <c r="Z317" i="46"/>
  <c r="Y317" i="46"/>
  <c r="N317" i="46"/>
  <c r="AA314" i="46"/>
  <c r="Z314" i="46"/>
  <c r="Y314" i="46"/>
  <c r="N314" i="46"/>
  <c r="AA311" i="46"/>
  <c r="Z311" i="46"/>
  <c r="Y311" i="46"/>
  <c r="N311" i="46"/>
  <c r="AA308" i="46"/>
  <c r="Z308" i="46"/>
  <c r="Y308" i="46"/>
  <c r="N308" i="46"/>
  <c r="AA304" i="46"/>
  <c r="Z304" i="46"/>
  <c r="Y304" i="46"/>
  <c r="AA301" i="46"/>
  <c r="Z301" i="46"/>
  <c r="Y301" i="46"/>
  <c r="AA298" i="46"/>
  <c r="Z298" i="46"/>
  <c r="Y298" i="46"/>
  <c r="AA295" i="46"/>
  <c r="Z295" i="46"/>
  <c r="Y295" i="46"/>
  <c r="AA292" i="46"/>
  <c r="Z292" i="46"/>
  <c r="Y292" i="46"/>
  <c r="AA289" i="46"/>
  <c r="Z289" i="46"/>
  <c r="Y289" i="46"/>
  <c r="AA286" i="46"/>
  <c r="Z286" i="46"/>
  <c r="Y286" i="46"/>
  <c r="AA283" i="46"/>
  <c r="Z283" i="46"/>
  <c r="Y283" i="46"/>
  <c r="AA280" i="46"/>
  <c r="Z280" i="46"/>
  <c r="Y280" i="46"/>
  <c r="X233" i="46"/>
  <c r="W233" i="46"/>
  <c r="V233" i="46"/>
  <c r="U233" i="46"/>
  <c r="T233" i="46"/>
  <c r="S233" i="46"/>
  <c r="R233" i="46"/>
  <c r="Q233" i="46"/>
  <c r="P233" i="46"/>
  <c r="O233" i="46"/>
  <c r="M233" i="46"/>
  <c r="L233" i="46"/>
  <c r="K233" i="46"/>
  <c r="J233" i="46"/>
  <c r="I233" i="46"/>
  <c r="H233" i="46"/>
  <c r="G233" i="46"/>
  <c r="F233" i="46"/>
  <c r="E233" i="46"/>
  <c r="D233" i="46"/>
  <c r="X220" i="46"/>
  <c r="W220" i="46"/>
  <c r="V220" i="46"/>
  <c r="U220" i="46"/>
  <c r="T220" i="46"/>
  <c r="S220" i="46"/>
  <c r="R220" i="46"/>
  <c r="Q220" i="46"/>
  <c r="P220" i="46"/>
  <c r="O220" i="46"/>
  <c r="M220" i="46"/>
  <c r="L220" i="46"/>
  <c r="K220" i="46"/>
  <c r="J220" i="46"/>
  <c r="I220" i="46"/>
  <c r="H220" i="46"/>
  <c r="G220" i="46"/>
  <c r="F220" i="46"/>
  <c r="E220" i="46"/>
  <c r="D220" i="46"/>
  <c r="X219" i="46"/>
  <c r="W219" i="46"/>
  <c r="V219" i="46"/>
  <c r="U219" i="46"/>
  <c r="T219" i="46"/>
  <c r="S219" i="46"/>
  <c r="R219" i="46"/>
  <c r="Q219" i="46"/>
  <c r="P219" i="46"/>
  <c r="O219" i="46"/>
  <c r="M219" i="46"/>
  <c r="L219" i="46"/>
  <c r="K219" i="46"/>
  <c r="J219" i="46"/>
  <c r="I219" i="46"/>
  <c r="H219" i="46"/>
  <c r="G219" i="46"/>
  <c r="F219" i="46"/>
  <c r="E219" i="46"/>
  <c r="D219" i="46"/>
  <c r="X215" i="46"/>
  <c r="W215" i="46"/>
  <c r="V215" i="46"/>
  <c r="U215" i="46"/>
  <c r="T215" i="46"/>
  <c r="S215" i="46"/>
  <c r="R215" i="46"/>
  <c r="Q215" i="46"/>
  <c r="P215" i="46"/>
  <c r="O215" i="46"/>
  <c r="M215" i="46"/>
  <c r="L215" i="46"/>
  <c r="K215" i="46"/>
  <c r="J215" i="46"/>
  <c r="I215" i="46"/>
  <c r="H215" i="46"/>
  <c r="G215" i="46"/>
  <c r="F215" i="46"/>
  <c r="E215" i="46"/>
  <c r="D215" i="46"/>
  <c r="X199" i="46"/>
  <c r="W199" i="46"/>
  <c r="V199" i="46"/>
  <c r="U199" i="46"/>
  <c r="T199" i="46"/>
  <c r="S199" i="46"/>
  <c r="R199" i="46"/>
  <c r="Q199" i="46"/>
  <c r="P199" i="46"/>
  <c r="O199" i="46"/>
  <c r="M199" i="46"/>
  <c r="L199" i="46"/>
  <c r="K199" i="46"/>
  <c r="J199" i="46"/>
  <c r="I199" i="46"/>
  <c r="H199" i="46"/>
  <c r="G199" i="46"/>
  <c r="F199" i="46"/>
  <c r="E199" i="46"/>
  <c r="D199" i="46"/>
  <c r="X191" i="46"/>
  <c r="W191" i="46"/>
  <c r="V191" i="46"/>
  <c r="U191" i="46"/>
  <c r="T191" i="46"/>
  <c r="S191" i="46"/>
  <c r="R191" i="46"/>
  <c r="Q191" i="46"/>
  <c r="P191" i="46"/>
  <c r="O191" i="46"/>
  <c r="M191" i="46"/>
  <c r="L191" i="46"/>
  <c r="K191" i="46"/>
  <c r="J191" i="46"/>
  <c r="I191" i="46"/>
  <c r="H191" i="46"/>
  <c r="G191" i="46"/>
  <c r="F191" i="46"/>
  <c r="E191" i="46"/>
  <c r="D191" i="46"/>
  <c r="X190" i="46"/>
  <c r="W190" i="46"/>
  <c r="V190" i="46"/>
  <c r="U190" i="46"/>
  <c r="T190" i="46"/>
  <c r="S190" i="46"/>
  <c r="R190" i="46"/>
  <c r="Q190" i="46"/>
  <c r="P190" i="46"/>
  <c r="O190" i="46"/>
  <c r="M190" i="46"/>
  <c r="L190" i="46"/>
  <c r="K190" i="46"/>
  <c r="J190" i="46"/>
  <c r="I190" i="46"/>
  <c r="H190" i="46"/>
  <c r="G190" i="46"/>
  <c r="F190" i="46"/>
  <c r="E190" i="46"/>
  <c r="D190" i="46"/>
  <c r="X187" i="46"/>
  <c r="W187" i="46"/>
  <c r="V187" i="46"/>
  <c r="U187" i="46"/>
  <c r="T187" i="46"/>
  <c r="S187" i="46"/>
  <c r="R187" i="46"/>
  <c r="Q187" i="46"/>
  <c r="P187" i="46"/>
  <c r="O187" i="46"/>
  <c r="M187" i="46"/>
  <c r="L187" i="46"/>
  <c r="K187" i="46"/>
  <c r="J187" i="46"/>
  <c r="I187" i="46"/>
  <c r="H187" i="46"/>
  <c r="G187" i="46"/>
  <c r="F187" i="46"/>
  <c r="E187" i="46"/>
  <c r="D187"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7" i="46"/>
  <c r="W157" i="46"/>
  <c r="V157" i="46"/>
  <c r="U157" i="46"/>
  <c r="T157" i="46"/>
  <c r="S157" i="46"/>
  <c r="R157" i="46"/>
  <c r="Q157" i="46"/>
  <c r="P157" i="46"/>
  <c r="O157" i="46"/>
  <c r="M157" i="46"/>
  <c r="L157" i="46"/>
  <c r="K157" i="46"/>
  <c r="J157" i="46"/>
  <c r="I157" i="46"/>
  <c r="H157" i="46"/>
  <c r="G157" i="46"/>
  <c r="F157" i="46"/>
  <c r="E157" i="46"/>
  <c r="D157"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M150" i="46"/>
  <c r="L150" i="46"/>
  <c r="K150" i="46"/>
  <c r="J150" i="46"/>
  <c r="I150" i="46"/>
  <c r="H150" i="46"/>
  <c r="G150" i="46"/>
  <c r="F150" i="46"/>
  <c r="E150" i="46"/>
  <c r="D150" i="46"/>
  <c r="AA253" i="46"/>
  <c r="Z253" i="46"/>
  <c r="Y253" i="46"/>
  <c r="N253" i="46"/>
  <c r="AA250" i="46"/>
  <c r="Z250" i="46"/>
  <c r="Y250" i="46"/>
  <c r="N250" i="46"/>
  <c r="AA247" i="46"/>
  <c r="Z247" i="46"/>
  <c r="Y247" i="46"/>
  <c r="N247" i="46"/>
  <c r="AA243" i="46"/>
  <c r="Z243" i="46"/>
  <c r="Y243" i="46"/>
  <c r="N243" i="46"/>
  <c r="AA240" i="46"/>
  <c r="Z240" i="46"/>
  <c r="Y240" i="46"/>
  <c r="N240" i="46"/>
  <c r="AA237" i="46"/>
  <c r="Z237" i="46"/>
  <c r="Y237" i="46"/>
  <c r="N237" i="46"/>
  <c r="AA234" i="46"/>
  <c r="Z234" i="46"/>
  <c r="Y234" i="46"/>
  <c r="N234" i="46"/>
  <c r="AA231" i="46"/>
  <c r="Z231" i="46"/>
  <c r="Y231" i="46"/>
  <c r="N231" i="46"/>
  <c r="AA227" i="46"/>
  <c r="Z227" i="46"/>
  <c r="Y227" i="46"/>
  <c r="N227" i="46"/>
  <c r="AA224" i="46"/>
  <c r="Z224" i="46"/>
  <c r="Y224" i="46"/>
  <c r="AA220" i="46"/>
  <c r="Z220" i="46"/>
  <c r="Y220" i="46"/>
  <c r="AA216" i="46"/>
  <c r="Z216" i="46"/>
  <c r="Y216" i="46"/>
  <c r="AA213" i="46"/>
  <c r="Z213" i="46"/>
  <c r="Y213" i="46"/>
  <c r="N213" i="46"/>
  <c r="AA210" i="46"/>
  <c r="Z210" i="46"/>
  <c r="Y210" i="46"/>
  <c r="N210" i="46"/>
  <c r="AA207" i="46"/>
  <c r="Z207" i="46"/>
  <c r="Y207" i="46"/>
  <c r="N207" i="46"/>
  <c r="AA204" i="46"/>
  <c r="Z204" i="46"/>
  <c r="Y204" i="46"/>
  <c r="N204" i="46"/>
  <c r="AA200" i="46"/>
  <c r="Z200" i="46"/>
  <c r="Y200" i="46"/>
  <c r="AA197" i="46"/>
  <c r="Z197" i="46"/>
  <c r="Y197" i="46"/>
  <c r="AA194" i="46"/>
  <c r="Z194" i="46"/>
  <c r="Y194" i="46"/>
  <c r="AA191" i="46"/>
  <c r="Z191" i="46"/>
  <c r="Y191" i="46"/>
  <c r="N191" i="46"/>
  <c r="AA188" i="46"/>
  <c r="Z188" i="46"/>
  <c r="Y188" i="46"/>
  <c r="N188" i="46"/>
  <c r="AA185" i="46"/>
  <c r="Z185" i="46"/>
  <c r="Y185" i="46"/>
  <c r="N185" i="46"/>
  <c r="AA182" i="46"/>
  <c r="Z182" i="46"/>
  <c r="Y182" i="46"/>
  <c r="N182" i="46"/>
  <c r="AA179" i="46"/>
  <c r="Z179" i="46"/>
  <c r="Y179" i="46"/>
  <c r="N179" i="46"/>
  <c r="AA175" i="46"/>
  <c r="Z175" i="46"/>
  <c r="Y175" i="46"/>
  <c r="AA172" i="46"/>
  <c r="Z172" i="46"/>
  <c r="Y172" i="46"/>
  <c r="AA169" i="46"/>
  <c r="Z169" i="46"/>
  <c r="Y169" i="46"/>
  <c r="AA166" i="46"/>
  <c r="Z166" i="46"/>
  <c r="Y166" i="46"/>
  <c r="AA163" i="46"/>
  <c r="Z163" i="46"/>
  <c r="Y163" i="46"/>
  <c r="AA160" i="46"/>
  <c r="Z160" i="46"/>
  <c r="Y160" i="46"/>
  <c r="AA157" i="46"/>
  <c r="Z157" i="46"/>
  <c r="Y157" i="46"/>
  <c r="AA154" i="46"/>
  <c r="Z154" i="46"/>
  <c r="Y154" i="46"/>
  <c r="AA151" i="46"/>
  <c r="Z151" i="46"/>
  <c r="Y151" i="46"/>
  <c r="AA103" i="46"/>
  <c r="Z103" i="46"/>
  <c r="AA88" i="46"/>
  <c r="Z88" i="46"/>
  <c r="AA85" i="46"/>
  <c r="Z85" i="46"/>
  <c r="AA72" i="46"/>
  <c r="Z72" i="46"/>
  <c r="AA69" i="46"/>
  <c r="Z69" i="46"/>
  <c r="AA66" i="46"/>
  <c r="Z66" i="46"/>
  <c r="AA63" i="46"/>
  <c r="Z63" i="46"/>
  <c r="AA60" i="46"/>
  <c r="Z60" i="46"/>
  <c r="AA57" i="46"/>
  <c r="Z57" i="46"/>
  <c r="AA54" i="46"/>
  <c r="Z54" i="46"/>
  <c r="AA51" i="46"/>
  <c r="Z51" i="46"/>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3" i="46"/>
  <c r="W103" i="46"/>
  <c r="V103" i="46"/>
  <c r="U103" i="46"/>
  <c r="T103" i="46"/>
  <c r="S103" i="46"/>
  <c r="R103" i="46"/>
  <c r="Q103" i="46"/>
  <c r="P103" i="46"/>
  <c r="O103" i="46"/>
  <c r="M103" i="46"/>
  <c r="L103" i="46"/>
  <c r="K103" i="46"/>
  <c r="J103" i="46"/>
  <c r="I103" i="46"/>
  <c r="H103" i="46"/>
  <c r="G103" i="46"/>
  <c r="F103" i="46"/>
  <c r="E103" i="46"/>
  <c r="D103" i="46"/>
  <c r="X102" i="46"/>
  <c r="W102" i="46"/>
  <c r="V102" i="46"/>
  <c r="U102" i="46"/>
  <c r="T102" i="46"/>
  <c r="S102" i="46"/>
  <c r="R102" i="46"/>
  <c r="Q102" i="46"/>
  <c r="P102" i="46"/>
  <c r="O102" i="46"/>
  <c r="M102" i="46"/>
  <c r="L102" i="46"/>
  <c r="K102" i="46"/>
  <c r="J102" i="46"/>
  <c r="I102" i="46"/>
  <c r="H102" i="46"/>
  <c r="G102" i="46"/>
  <c r="F102" i="46"/>
  <c r="E102" i="46"/>
  <c r="D102" i="46"/>
  <c r="X87" i="46"/>
  <c r="W87" i="46"/>
  <c r="V87" i="46"/>
  <c r="U87" i="46"/>
  <c r="T87" i="46"/>
  <c r="S87" i="46"/>
  <c r="R87" i="46"/>
  <c r="Q87" i="46"/>
  <c r="P87" i="46"/>
  <c r="O87" i="46"/>
  <c r="M87" i="46"/>
  <c r="L87" i="46"/>
  <c r="K87" i="46"/>
  <c r="J87" i="46"/>
  <c r="I87" i="46"/>
  <c r="H87" i="46"/>
  <c r="G87" i="46"/>
  <c r="F87" i="46"/>
  <c r="E87" i="46"/>
  <c r="D87" i="46"/>
  <c r="X84" i="46"/>
  <c r="W84" i="46"/>
  <c r="V84" i="46"/>
  <c r="U84" i="46"/>
  <c r="T84" i="46"/>
  <c r="S84" i="46"/>
  <c r="R84" i="46"/>
  <c r="Q84" i="46"/>
  <c r="P84" i="46"/>
  <c r="O84" i="46"/>
  <c r="M84" i="46"/>
  <c r="L84" i="46"/>
  <c r="K84" i="46"/>
  <c r="J84" i="46"/>
  <c r="I84" i="46"/>
  <c r="H84" i="46"/>
  <c r="G84" i="46"/>
  <c r="F84" i="46"/>
  <c r="E84" i="46"/>
  <c r="D84" i="46"/>
  <c r="X72" i="46"/>
  <c r="W72" i="46"/>
  <c r="V72" i="46"/>
  <c r="U72" i="46"/>
  <c r="T72" i="46"/>
  <c r="S72" i="46"/>
  <c r="R72" i="46"/>
  <c r="Q72" i="46"/>
  <c r="P72" i="46"/>
  <c r="O72" i="46"/>
  <c r="M72" i="46"/>
  <c r="L72" i="46"/>
  <c r="K72" i="46"/>
  <c r="J72" i="46"/>
  <c r="I72" i="46"/>
  <c r="H72" i="46"/>
  <c r="G72" i="46"/>
  <c r="F72" i="46"/>
  <c r="E72" i="46"/>
  <c r="D72" i="46"/>
  <c r="X71" i="46"/>
  <c r="W71" i="46"/>
  <c r="V71" i="46"/>
  <c r="U71" i="46"/>
  <c r="T71" i="46"/>
  <c r="S71" i="46"/>
  <c r="R71" i="46"/>
  <c r="Q71" i="46"/>
  <c r="P71" i="46"/>
  <c r="O71" i="46"/>
  <c r="M71" i="46"/>
  <c r="L71" i="46"/>
  <c r="K71" i="46"/>
  <c r="J71" i="46"/>
  <c r="I71" i="46"/>
  <c r="H71" i="46"/>
  <c r="G71" i="46"/>
  <c r="F71" i="46"/>
  <c r="E71" i="46"/>
  <c r="D71" i="46"/>
  <c r="X65" i="46"/>
  <c r="W65" i="46"/>
  <c r="V65" i="46"/>
  <c r="U65" i="46"/>
  <c r="T65" i="46"/>
  <c r="S65" i="46"/>
  <c r="R65" i="46"/>
  <c r="Q65" i="46"/>
  <c r="P65" i="46"/>
  <c r="O65" i="46"/>
  <c r="M65" i="46"/>
  <c r="L65" i="46"/>
  <c r="K65" i="46"/>
  <c r="J65" i="46"/>
  <c r="I65" i="46"/>
  <c r="H65" i="46"/>
  <c r="G65" i="46"/>
  <c r="F65" i="46"/>
  <c r="E65" i="46"/>
  <c r="D65" i="46"/>
  <c r="X63" i="46"/>
  <c r="W63" i="46"/>
  <c r="V63" i="46"/>
  <c r="U63" i="46"/>
  <c r="T63" i="46"/>
  <c r="S63" i="46"/>
  <c r="R63" i="46"/>
  <c r="Q63" i="46"/>
  <c r="P63" i="46"/>
  <c r="O63" i="46"/>
  <c r="M63" i="46"/>
  <c r="L63" i="46"/>
  <c r="K63" i="46"/>
  <c r="J63" i="46"/>
  <c r="I63" i="46"/>
  <c r="H63" i="46"/>
  <c r="G63" i="46"/>
  <c r="F63" i="46"/>
  <c r="E63" i="46"/>
  <c r="D63" i="46"/>
  <c r="X54" i="46"/>
  <c r="W54" i="46"/>
  <c r="V54" i="46"/>
  <c r="U54" i="46"/>
  <c r="T54" i="46"/>
  <c r="S54" i="46"/>
  <c r="R54" i="46"/>
  <c r="Q54" i="46"/>
  <c r="P54" i="46"/>
  <c r="O54" i="46"/>
  <c r="M54" i="46"/>
  <c r="L54" i="46"/>
  <c r="K54" i="46"/>
  <c r="J54" i="46"/>
  <c r="I54" i="46"/>
  <c r="H54" i="46"/>
  <c r="G54" i="46"/>
  <c r="F54" i="46"/>
  <c r="E54" i="46"/>
  <c r="D54" i="46"/>
  <c r="X53" i="46"/>
  <c r="W53" i="46"/>
  <c r="V53" i="46"/>
  <c r="U53" i="46"/>
  <c r="T53" i="46"/>
  <c r="S53" i="46"/>
  <c r="R53" i="46"/>
  <c r="Q53" i="46"/>
  <c r="P53" i="46"/>
  <c r="O53" i="46"/>
  <c r="M53" i="46"/>
  <c r="L53" i="46"/>
  <c r="K53" i="46"/>
  <c r="J53" i="46"/>
  <c r="I53" i="46"/>
  <c r="H53" i="46"/>
  <c r="G53" i="46"/>
  <c r="F53" i="46"/>
  <c r="E53" i="46"/>
  <c r="D53" i="46"/>
  <c r="X51" i="46"/>
  <c r="W51" i="46"/>
  <c r="V51" i="46"/>
  <c r="U51" i="46"/>
  <c r="T51" i="46"/>
  <c r="S51" i="46"/>
  <c r="R51" i="46"/>
  <c r="Q51" i="46"/>
  <c r="P51" i="46"/>
  <c r="O51" i="46"/>
  <c r="M51" i="46"/>
  <c r="L51" i="46"/>
  <c r="K51" i="46"/>
  <c r="J51" i="46"/>
  <c r="I51" i="46"/>
  <c r="H51" i="46"/>
  <c r="G51" i="46"/>
  <c r="F51" i="46"/>
  <c r="E51" i="46"/>
  <c r="D51" i="46"/>
  <c r="X50" i="46"/>
  <c r="W50" i="46"/>
  <c r="V50" i="46"/>
  <c r="U50" i="46"/>
  <c r="T50" i="46"/>
  <c r="S50" i="46"/>
  <c r="R50" i="46"/>
  <c r="Q50" i="46"/>
  <c r="P50" i="46"/>
  <c r="O50" i="46"/>
  <c r="M50" i="46"/>
  <c r="L50" i="46"/>
  <c r="K50" i="46"/>
  <c r="J50" i="46"/>
  <c r="I50" i="46"/>
  <c r="H50" i="46"/>
  <c r="G50" i="46"/>
  <c r="F50" i="46"/>
  <c r="E50" i="46"/>
  <c r="D50" i="46"/>
  <c r="X40" i="46"/>
  <c r="W40" i="46"/>
  <c r="V40" i="46"/>
  <c r="U40" i="46"/>
  <c r="T40" i="46"/>
  <c r="S40" i="46"/>
  <c r="R40" i="46"/>
  <c r="Q40" i="46"/>
  <c r="P40" i="46"/>
  <c r="O40"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M22" i="46"/>
  <c r="L22" i="46"/>
  <c r="K22" i="46"/>
  <c r="J22" i="46"/>
  <c r="I22" i="46"/>
  <c r="H22" i="46"/>
  <c r="G22" i="46"/>
  <c r="F22" i="46"/>
  <c r="E22" i="46"/>
  <c r="D22" i="46"/>
  <c r="Y125" i="46"/>
  <c r="N125" i="46"/>
  <c r="Y122" i="46"/>
  <c r="N122" i="46"/>
  <c r="Y119" i="46"/>
  <c r="N119" i="46"/>
  <c r="Y115" i="46"/>
  <c r="N115" i="46"/>
  <c r="Y112" i="46"/>
  <c r="N112" i="46"/>
  <c r="Y109" i="46"/>
  <c r="N109" i="46"/>
  <c r="Y106" i="46"/>
  <c r="N106" i="46"/>
  <c r="Y103" i="46"/>
  <c r="N103" i="46"/>
  <c r="Y99" i="46"/>
  <c r="N99" i="46"/>
  <c r="Y96" i="46"/>
  <c r="Y92" i="46"/>
  <c r="Y88" i="46"/>
  <c r="Y85" i="46"/>
  <c r="N85" i="46"/>
  <c r="Y82" i="46"/>
  <c r="N82" i="46"/>
  <c r="Y79" i="46"/>
  <c r="N79" i="46"/>
  <c r="Y76" i="46"/>
  <c r="N76" i="46"/>
  <c r="Y72" i="46"/>
  <c r="Y69" i="46"/>
  <c r="Y66" i="46"/>
  <c r="Y63" i="46"/>
  <c r="N63" i="46"/>
  <c r="Y60" i="46"/>
  <c r="N60" i="46"/>
  <c r="Y57" i="46"/>
  <c r="N57" i="46"/>
  <c r="Y54" i="46"/>
  <c r="N54" i="46"/>
  <c r="Y51" i="46"/>
  <c r="N51" i="46"/>
  <c r="Y47" i="46"/>
  <c r="Y44" i="46"/>
  <c r="Y41" i="46"/>
  <c r="Y38" i="46"/>
  <c r="Y35" i="46"/>
  <c r="Y32" i="46"/>
  <c r="Y29" i="46"/>
  <c r="Y26" i="46"/>
  <c r="Y23" i="46"/>
  <c r="C39" i="85" l="1"/>
  <c r="I24" i="85"/>
  <c r="P495" i="79" s="1"/>
  <c r="I25" i="85"/>
  <c r="Q495" i="79" s="1"/>
  <c r="I26" i="85"/>
  <c r="R495" i="79" s="1"/>
  <c r="G478" i="79"/>
  <c r="D478" i="79"/>
  <c r="N762" i="79" l="1"/>
  <c r="N759" i="79"/>
  <c r="N756" i="79"/>
  <c r="N753" i="79"/>
  <c r="N747" i="79"/>
  <c r="N744" i="79"/>
  <c r="N738" i="79"/>
  <c r="N735" i="79"/>
  <c r="N732" i="79"/>
  <c r="N729" i="79"/>
  <c r="N726" i="79"/>
  <c r="N723" i="79"/>
  <c r="N719" i="79"/>
  <c r="N716" i="79"/>
  <c r="N713" i="79"/>
  <c r="N709" i="79"/>
  <c r="N706" i="79"/>
  <c r="N703" i="79"/>
  <c r="N700" i="79"/>
  <c r="N697" i="79"/>
  <c r="N694" i="79"/>
  <c r="N691" i="79"/>
  <c r="N688" i="79"/>
  <c r="AL684" i="79"/>
  <c r="AK684" i="79"/>
  <c r="AJ684" i="79"/>
  <c r="AI684" i="79"/>
  <c r="AH684" i="79"/>
  <c r="AG684" i="79"/>
  <c r="AF684" i="79"/>
  <c r="AE684" i="79"/>
  <c r="AD684" i="79"/>
  <c r="AC684" i="79"/>
  <c r="AB684" i="79"/>
  <c r="AA684" i="79"/>
  <c r="Z684" i="79"/>
  <c r="Y684" i="79"/>
  <c r="AM683" i="79"/>
  <c r="G508" i="79"/>
  <c r="D508" i="79"/>
  <c r="X507" i="79"/>
  <c r="W507" i="79"/>
  <c r="V507" i="79"/>
  <c r="U507" i="79"/>
  <c r="T507" i="79"/>
  <c r="S507" i="79"/>
  <c r="R507" i="79"/>
  <c r="Q507" i="79"/>
  <c r="P507" i="79"/>
  <c r="O507" i="79"/>
  <c r="M507" i="79"/>
  <c r="L507" i="79"/>
  <c r="K507" i="79"/>
  <c r="J507" i="79"/>
  <c r="I507" i="79"/>
  <c r="H507" i="79"/>
  <c r="G507" i="79"/>
  <c r="F507" i="79"/>
  <c r="E507" i="79"/>
  <c r="D507" i="79"/>
  <c r="G502" i="79"/>
  <c r="D502" i="79"/>
  <c r="X501" i="79"/>
  <c r="W501" i="79"/>
  <c r="V501" i="79"/>
  <c r="U501" i="79"/>
  <c r="T501" i="79"/>
  <c r="S501" i="79"/>
  <c r="R501" i="79"/>
  <c r="Q501" i="79"/>
  <c r="P501" i="79"/>
  <c r="O501" i="79"/>
  <c r="M501" i="79"/>
  <c r="L501" i="79"/>
  <c r="K501" i="79"/>
  <c r="J501" i="79"/>
  <c r="I501" i="79"/>
  <c r="H501" i="79"/>
  <c r="G501" i="79"/>
  <c r="F501" i="79"/>
  <c r="E501" i="79"/>
  <c r="D501" i="79"/>
  <c r="X498" i="79"/>
  <c r="W498" i="79"/>
  <c r="V498" i="79"/>
  <c r="U498" i="79"/>
  <c r="T498" i="79"/>
  <c r="S498" i="79"/>
  <c r="R498" i="79"/>
  <c r="Q498" i="79"/>
  <c r="P498" i="79"/>
  <c r="O498" i="79"/>
  <c r="M498" i="79"/>
  <c r="L498" i="79"/>
  <c r="K498" i="79"/>
  <c r="J498" i="79"/>
  <c r="I498" i="79"/>
  <c r="H498" i="79"/>
  <c r="G498" i="79"/>
  <c r="F498" i="79"/>
  <c r="E498" i="79"/>
  <c r="D498" i="79"/>
  <c r="G496" i="79"/>
  <c r="D496" i="79"/>
  <c r="X493" i="79"/>
  <c r="W493" i="79"/>
  <c r="V493" i="79"/>
  <c r="U493" i="79"/>
  <c r="T493" i="79"/>
  <c r="S493" i="79"/>
  <c r="R493" i="79"/>
  <c r="Q493" i="79"/>
  <c r="P493" i="79"/>
  <c r="O493" i="79"/>
  <c r="M493" i="79"/>
  <c r="L493" i="79"/>
  <c r="K493" i="79"/>
  <c r="J493" i="79"/>
  <c r="I493" i="79"/>
  <c r="H493" i="79"/>
  <c r="G493" i="79"/>
  <c r="F493" i="79"/>
  <c r="E493" i="79"/>
  <c r="D493" i="79"/>
  <c r="X486" i="79"/>
  <c r="W486" i="79"/>
  <c r="V486" i="79"/>
  <c r="U486" i="79"/>
  <c r="T486" i="79"/>
  <c r="S486" i="79"/>
  <c r="R486" i="79"/>
  <c r="Q486" i="79"/>
  <c r="P486" i="79"/>
  <c r="O486" i="79"/>
  <c r="M486" i="79"/>
  <c r="L486" i="79"/>
  <c r="K486" i="79"/>
  <c r="J486" i="79"/>
  <c r="I486" i="79"/>
  <c r="H486" i="79"/>
  <c r="G486" i="79"/>
  <c r="F486" i="79"/>
  <c r="E486" i="79"/>
  <c r="D486" i="79"/>
  <c r="X483" i="79"/>
  <c r="W483" i="79"/>
  <c r="V483" i="79"/>
  <c r="U483" i="79"/>
  <c r="T483" i="79"/>
  <c r="S483" i="79"/>
  <c r="R483" i="79"/>
  <c r="Q483" i="79"/>
  <c r="P483" i="79"/>
  <c r="O483" i="79"/>
  <c r="M483" i="79"/>
  <c r="L483" i="79"/>
  <c r="K483" i="79"/>
  <c r="J483" i="79"/>
  <c r="I483" i="79"/>
  <c r="H483" i="79"/>
  <c r="G483" i="79"/>
  <c r="F483" i="79"/>
  <c r="E483" i="79"/>
  <c r="D483" i="79"/>
  <c r="X480" i="79"/>
  <c r="W480" i="79"/>
  <c r="V480" i="79"/>
  <c r="U480" i="79"/>
  <c r="T480" i="79"/>
  <c r="S480" i="79"/>
  <c r="R480" i="79"/>
  <c r="Q480" i="79"/>
  <c r="P480" i="79"/>
  <c r="O480" i="79"/>
  <c r="M480" i="79"/>
  <c r="L480" i="79"/>
  <c r="K480" i="79"/>
  <c r="J480" i="79"/>
  <c r="I480" i="79"/>
  <c r="H480" i="79"/>
  <c r="G480" i="79"/>
  <c r="F480" i="79"/>
  <c r="E480" i="79"/>
  <c r="D480" i="79"/>
  <c r="X477" i="79"/>
  <c r="W477" i="79"/>
  <c r="V477" i="79"/>
  <c r="U477" i="79"/>
  <c r="T477" i="79"/>
  <c r="S477" i="79"/>
  <c r="R477" i="79"/>
  <c r="Q477" i="79"/>
  <c r="P477" i="79"/>
  <c r="O477" i="79"/>
  <c r="M477" i="79"/>
  <c r="L477" i="79"/>
  <c r="K477" i="79"/>
  <c r="J477" i="79"/>
  <c r="I477" i="79"/>
  <c r="H477" i="79"/>
  <c r="G477" i="79"/>
  <c r="F477" i="79"/>
  <c r="E477" i="79"/>
  <c r="D477" i="79"/>
  <c r="G475" i="79"/>
  <c r="D475" i="79"/>
  <c r="X474" i="79"/>
  <c r="W474" i="79"/>
  <c r="V474" i="79"/>
  <c r="U474" i="79"/>
  <c r="T474" i="79"/>
  <c r="S474" i="79"/>
  <c r="R474" i="79"/>
  <c r="Q474" i="79"/>
  <c r="P474" i="79"/>
  <c r="O474" i="79"/>
  <c r="M474" i="79"/>
  <c r="L474" i="79"/>
  <c r="K474" i="79"/>
  <c r="J474" i="79"/>
  <c r="I474" i="79"/>
  <c r="H474" i="79"/>
  <c r="G474" i="79"/>
  <c r="F474" i="79"/>
  <c r="E474" i="79"/>
  <c r="D474" i="79"/>
  <c r="N424" i="79"/>
  <c r="N427" i="79"/>
  <c r="N430" i="79"/>
  <c r="N433" i="79"/>
  <c r="N436" i="79"/>
  <c r="N440" i="79"/>
  <c r="N443" i="79"/>
  <c r="N446" i="79"/>
  <c r="N450" i="79"/>
  <c r="N454" i="79"/>
  <c r="N457" i="79"/>
  <c r="N461" i="79"/>
  <c r="N464" i="79"/>
  <c r="N467" i="79"/>
  <c r="N470" i="79"/>
  <c r="N496" i="79"/>
  <c r="N499" i="79"/>
  <c r="N502" i="79"/>
  <c r="N505" i="79"/>
  <c r="N508" i="79"/>
  <c r="N511" i="79"/>
  <c r="N514" i="79"/>
  <c r="N518" i="79"/>
  <c r="N521" i="79"/>
  <c r="N534" i="79"/>
  <c r="N537" i="79"/>
  <c r="N540" i="79"/>
  <c r="N543" i="79"/>
  <c r="N546" i="79"/>
  <c r="N549" i="79"/>
  <c r="N555" i="79"/>
  <c r="N558" i="79"/>
  <c r="N561" i="79"/>
  <c r="N564" i="79"/>
  <c r="N567" i="79"/>
  <c r="N570" i="79"/>
  <c r="N573" i="79"/>
  <c r="AL487" i="79"/>
  <c r="AK487" i="79"/>
  <c r="AJ487" i="79"/>
  <c r="AI487" i="79"/>
  <c r="AH487" i="79"/>
  <c r="AG487" i="79"/>
  <c r="AF487" i="79"/>
  <c r="AE487" i="79"/>
  <c r="AD487" i="79"/>
  <c r="AC487" i="79"/>
  <c r="AB487" i="79"/>
  <c r="AA487" i="79"/>
  <c r="Z487" i="79"/>
  <c r="Y487" i="79"/>
  <c r="AM486" i="79"/>
  <c r="X326" i="79"/>
  <c r="W326" i="79"/>
  <c r="V326" i="79"/>
  <c r="U326" i="79"/>
  <c r="T326" i="79"/>
  <c r="S326" i="79"/>
  <c r="R326" i="79"/>
  <c r="Q326" i="79"/>
  <c r="P326" i="79"/>
  <c r="O326" i="79"/>
  <c r="M326" i="79"/>
  <c r="L326" i="79"/>
  <c r="K326" i="79"/>
  <c r="J326" i="79"/>
  <c r="I326" i="79"/>
  <c r="H326" i="79"/>
  <c r="G326" i="79"/>
  <c r="F326" i="79"/>
  <c r="E326" i="79"/>
  <c r="D326" i="79"/>
  <c r="X308" i="79"/>
  <c r="W308" i="79"/>
  <c r="V308" i="79"/>
  <c r="U308" i="79"/>
  <c r="T308" i="79"/>
  <c r="S308" i="79"/>
  <c r="R308" i="79"/>
  <c r="Q308" i="79"/>
  <c r="P308" i="79"/>
  <c r="O308" i="79"/>
  <c r="M308" i="79"/>
  <c r="L308" i="79"/>
  <c r="K308" i="79"/>
  <c r="J308" i="79"/>
  <c r="I308" i="79"/>
  <c r="H308" i="79"/>
  <c r="G308" i="79"/>
  <c r="F308" i="79"/>
  <c r="E308" i="79"/>
  <c r="D308" i="79"/>
  <c r="X307" i="79"/>
  <c r="W307" i="79"/>
  <c r="V307" i="79"/>
  <c r="U307" i="79"/>
  <c r="T307" i="79"/>
  <c r="S307" i="79"/>
  <c r="R307" i="79"/>
  <c r="Q307" i="79"/>
  <c r="P307" i="79"/>
  <c r="O307" i="79"/>
  <c r="M307" i="79"/>
  <c r="L307" i="79"/>
  <c r="K307" i="79"/>
  <c r="J307" i="79"/>
  <c r="I307" i="79"/>
  <c r="H307" i="79"/>
  <c r="G307" i="79"/>
  <c r="F307" i="79"/>
  <c r="E307" i="79"/>
  <c r="D307" i="79"/>
  <c r="X298" i="79"/>
  <c r="W298" i="79"/>
  <c r="V298" i="79"/>
  <c r="U298" i="79"/>
  <c r="T298" i="79"/>
  <c r="S298" i="79"/>
  <c r="R298" i="79"/>
  <c r="Q298" i="79"/>
  <c r="P298" i="79"/>
  <c r="O298" i="79"/>
  <c r="M298" i="79"/>
  <c r="L298" i="79"/>
  <c r="K298" i="79"/>
  <c r="J298" i="79"/>
  <c r="I298" i="79"/>
  <c r="H298" i="79"/>
  <c r="G298" i="79"/>
  <c r="F298" i="79"/>
  <c r="E298" i="79"/>
  <c r="D298" i="79"/>
  <c r="X295" i="79"/>
  <c r="W295" i="79"/>
  <c r="V295" i="79"/>
  <c r="U295" i="79"/>
  <c r="T295" i="79"/>
  <c r="S295" i="79"/>
  <c r="R295" i="79"/>
  <c r="Q295" i="79"/>
  <c r="P295" i="79"/>
  <c r="O295" i="79"/>
  <c r="M295" i="79"/>
  <c r="L295" i="79"/>
  <c r="K295" i="79"/>
  <c r="J295" i="79"/>
  <c r="I295" i="79"/>
  <c r="H295" i="79"/>
  <c r="G295" i="79"/>
  <c r="F295" i="79"/>
  <c r="E295" i="79"/>
  <c r="D295" i="79"/>
  <c r="X294" i="79"/>
  <c r="W294" i="79"/>
  <c r="V294" i="79"/>
  <c r="U294" i="79"/>
  <c r="T294" i="79"/>
  <c r="S294" i="79"/>
  <c r="R294" i="79"/>
  <c r="Q294" i="79"/>
  <c r="P294" i="79"/>
  <c r="O294" i="79"/>
  <c r="M294" i="79"/>
  <c r="L294" i="79"/>
  <c r="K294" i="79"/>
  <c r="J294" i="79"/>
  <c r="I294" i="79"/>
  <c r="H294" i="79"/>
  <c r="G294" i="79"/>
  <c r="F294" i="79"/>
  <c r="E294" i="79"/>
  <c r="D294" i="79"/>
  <c r="X292" i="79"/>
  <c r="W292" i="79"/>
  <c r="V292" i="79"/>
  <c r="U292" i="79"/>
  <c r="T292" i="79"/>
  <c r="S292" i="79"/>
  <c r="R292" i="79"/>
  <c r="Q292" i="79"/>
  <c r="P292" i="79"/>
  <c r="O292" i="79"/>
  <c r="M292" i="79"/>
  <c r="L292" i="79"/>
  <c r="K292" i="79"/>
  <c r="J292" i="79"/>
  <c r="I292" i="79"/>
  <c r="H292" i="79"/>
  <c r="G292" i="79"/>
  <c r="F292" i="79"/>
  <c r="E292" i="79"/>
  <c r="D292" i="79"/>
  <c r="X291" i="79"/>
  <c r="W291" i="79"/>
  <c r="V291" i="79"/>
  <c r="U291" i="79"/>
  <c r="T291" i="79"/>
  <c r="S291" i="79"/>
  <c r="R291" i="79"/>
  <c r="Q291" i="79"/>
  <c r="P291" i="79"/>
  <c r="O291" i="79"/>
  <c r="M291" i="79"/>
  <c r="L291" i="79"/>
  <c r="K291" i="79"/>
  <c r="J291" i="79"/>
  <c r="I291" i="79"/>
  <c r="H291" i="79"/>
  <c r="G291" i="79"/>
  <c r="F291" i="79"/>
  <c r="E291" i="79"/>
  <c r="D291" i="79"/>
  <c r="N379" i="79"/>
  <c r="N376" i="79"/>
  <c r="N373" i="79"/>
  <c r="N370" i="79"/>
  <c r="N367" i="79"/>
  <c r="N361" i="79"/>
  <c r="N355" i="79"/>
  <c r="N352" i="79"/>
  <c r="N349" i="79"/>
  <c r="N346" i="79"/>
  <c r="N343" i="79"/>
  <c r="N340" i="79"/>
  <c r="N336" i="79"/>
  <c r="N333" i="79"/>
  <c r="N330" i="79"/>
  <c r="N326" i="79"/>
  <c r="N323" i="79"/>
  <c r="N320" i="79"/>
  <c r="N317" i="79"/>
  <c r="N314" i="79"/>
  <c r="N311" i="79"/>
  <c r="N308" i="79"/>
  <c r="N305" i="79"/>
  <c r="X277" i="79"/>
  <c r="W277" i="79"/>
  <c r="V277" i="79"/>
  <c r="U277" i="79"/>
  <c r="T277" i="79"/>
  <c r="S277" i="79"/>
  <c r="R277" i="79"/>
  <c r="Q277" i="79"/>
  <c r="P277" i="79"/>
  <c r="O277" i="79"/>
  <c r="M277" i="79"/>
  <c r="L277" i="79"/>
  <c r="K277" i="79"/>
  <c r="J277" i="79"/>
  <c r="I277" i="79"/>
  <c r="H277" i="79"/>
  <c r="G277" i="79"/>
  <c r="F277" i="79"/>
  <c r="E277" i="79"/>
  <c r="D277" i="79"/>
  <c r="AM277" i="79"/>
  <c r="AL278" i="79"/>
  <c r="AK278" i="79"/>
  <c r="AJ278" i="79"/>
  <c r="AI278" i="79"/>
  <c r="AH278" i="79"/>
  <c r="AG278" i="79"/>
  <c r="AF278" i="79"/>
  <c r="AE278" i="79"/>
  <c r="AD278" i="79"/>
  <c r="AC278" i="79"/>
  <c r="AB278" i="79"/>
  <c r="AA278" i="79"/>
  <c r="Z278" i="79"/>
  <c r="Y278" i="79"/>
  <c r="N278" i="79"/>
  <c r="X39" i="79"/>
  <c r="W39" i="79"/>
  <c r="V39" i="79"/>
  <c r="U39" i="79"/>
  <c r="T39" i="79"/>
  <c r="S39" i="79"/>
  <c r="R39" i="79"/>
  <c r="Q39" i="79"/>
  <c r="P39" i="79"/>
  <c r="O39" i="79"/>
  <c r="X38" i="79"/>
  <c r="W38" i="79"/>
  <c r="V38" i="79"/>
  <c r="U38" i="79"/>
  <c r="T38" i="79"/>
  <c r="S38" i="79"/>
  <c r="R38" i="79"/>
  <c r="Q38" i="79"/>
  <c r="P38" i="79"/>
  <c r="O38" i="79"/>
  <c r="X122" i="79"/>
  <c r="W122" i="79"/>
  <c r="V122" i="79"/>
  <c r="U122" i="79"/>
  <c r="T122" i="79"/>
  <c r="S122" i="79"/>
  <c r="R122" i="79"/>
  <c r="Q122" i="79"/>
  <c r="P122" i="79"/>
  <c r="O122" i="79"/>
  <c r="M122" i="79"/>
  <c r="L122" i="79"/>
  <c r="K122" i="79"/>
  <c r="J122" i="79"/>
  <c r="I122" i="79"/>
  <c r="H122" i="79"/>
  <c r="G122" i="79"/>
  <c r="F122" i="79"/>
  <c r="E122" i="79"/>
  <c r="D122" i="79"/>
  <c r="X94" i="79"/>
  <c r="W94" i="79"/>
  <c r="V94" i="79"/>
  <c r="U94" i="79"/>
  <c r="T94" i="79"/>
  <c r="S94" i="79"/>
  <c r="R94" i="79"/>
  <c r="Q94" i="79"/>
  <c r="P94" i="79"/>
  <c r="O94" i="79"/>
  <c r="M94" i="79"/>
  <c r="L94" i="79"/>
  <c r="K94" i="79"/>
  <c r="J94" i="79"/>
  <c r="I94" i="79"/>
  <c r="H94" i="79"/>
  <c r="G94" i="79"/>
  <c r="F94" i="79"/>
  <c r="E94" i="79"/>
  <c r="D94"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3" i="79"/>
  <c r="W73" i="79"/>
  <c r="V73" i="79"/>
  <c r="U73" i="79"/>
  <c r="T73" i="79"/>
  <c r="S73" i="79"/>
  <c r="R73" i="79"/>
  <c r="Q73" i="79"/>
  <c r="P73" i="79"/>
  <c r="O73" i="79"/>
  <c r="M73" i="79"/>
  <c r="L73" i="79"/>
  <c r="K73" i="79"/>
  <c r="J73" i="79"/>
  <c r="I73" i="79"/>
  <c r="H73" i="79"/>
  <c r="G73" i="79"/>
  <c r="F73" i="79"/>
  <c r="E73" i="79"/>
  <c r="D73" i="79"/>
  <c r="X70" i="79"/>
  <c r="W70" i="79"/>
  <c r="V70" i="79"/>
  <c r="U70" i="79"/>
  <c r="T70" i="79"/>
  <c r="S70" i="79"/>
  <c r="R70" i="79"/>
  <c r="Q70" i="79"/>
  <c r="P70" i="79"/>
  <c r="O70" i="79"/>
  <c r="M70" i="79"/>
  <c r="L70" i="79"/>
  <c r="K70" i="79"/>
  <c r="J70" i="79"/>
  <c r="I70" i="79"/>
  <c r="H70" i="79"/>
  <c r="G70" i="79"/>
  <c r="F70" i="79"/>
  <c r="E70" i="79"/>
  <c r="D70" i="79"/>
  <c r="X66" i="79"/>
  <c r="W66" i="79"/>
  <c r="V66" i="79"/>
  <c r="U66" i="79"/>
  <c r="T66" i="79"/>
  <c r="S66" i="79"/>
  <c r="R66" i="79"/>
  <c r="Q66" i="79"/>
  <c r="P66" i="79"/>
  <c r="O66" i="79"/>
  <c r="M66" i="79"/>
  <c r="L66" i="79"/>
  <c r="K66" i="79"/>
  <c r="J66" i="79"/>
  <c r="I66" i="79"/>
  <c r="H66" i="79"/>
  <c r="G66" i="79"/>
  <c r="F66" i="79"/>
  <c r="E66" i="79"/>
  <c r="D66" i="79"/>
  <c r="X63" i="79"/>
  <c r="W63" i="79"/>
  <c r="V63" i="79"/>
  <c r="U63" i="79"/>
  <c r="T63" i="79"/>
  <c r="S63" i="79"/>
  <c r="R63" i="79"/>
  <c r="Q63" i="79"/>
  <c r="P63" i="79"/>
  <c r="O63" i="79"/>
  <c r="M63" i="79"/>
  <c r="L63" i="79"/>
  <c r="K63" i="79"/>
  <c r="J63" i="79"/>
  <c r="I63" i="79"/>
  <c r="H63" i="79"/>
  <c r="G63" i="79"/>
  <c r="F63" i="79"/>
  <c r="E63" i="79"/>
  <c r="D63"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55" i="79"/>
  <c r="W55" i="79"/>
  <c r="V55" i="79"/>
  <c r="U55" i="79"/>
  <c r="T55" i="79"/>
  <c r="S55" i="79"/>
  <c r="R55" i="79"/>
  <c r="Q55" i="79"/>
  <c r="P55" i="79"/>
  <c r="O55" i="79"/>
  <c r="M55" i="79"/>
  <c r="L55" i="79"/>
  <c r="K55" i="79"/>
  <c r="J55" i="79"/>
  <c r="I55" i="79"/>
  <c r="H55" i="79"/>
  <c r="G55" i="79"/>
  <c r="F55" i="79"/>
  <c r="E55" i="79"/>
  <c r="D55" i="79"/>
  <c r="X54" i="79"/>
  <c r="W54" i="79"/>
  <c r="V54" i="79"/>
  <c r="U54" i="79"/>
  <c r="T54" i="79"/>
  <c r="S54" i="79"/>
  <c r="R54" i="79"/>
  <c r="Q54" i="79"/>
  <c r="P54" i="79"/>
  <c r="O54" i="79"/>
  <c r="M54" i="79"/>
  <c r="L54" i="79"/>
  <c r="K54" i="79"/>
  <c r="J54" i="79"/>
  <c r="I54" i="79"/>
  <c r="H54" i="79"/>
  <c r="G54" i="79"/>
  <c r="F54" i="79"/>
  <c r="E54" i="79"/>
  <c r="D54" i="79"/>
  <c r="X51" i="79"/>
  <c r="W51" i="79"/>
  <c r="V51" i="79"/>
  <c r="U51" i="79"/>
  <c r="T51" i="79"/>
  <c r="S51" i="79"/>
  <c r="R51" i="79"/>
  <c r="Q51" i="79"/>
  <c r="P51" i="79"/>
  <c r="O51" i="79"/>
  <c r="M51" i="79"/>
  <c r="L51" i="79"/>
  <c r="K51" i="79"/>
  <c r="J51" i="79"/>
  <c r="I51" i="79"/>
  <c r="H51" i="79"/>
  <c r="G51" i="79"/>
  <c r="F51" i="79"/>
  <c r="E51" i="79"/>
  <c r="D51" i="79"/>
  <c r="X50" i="79"/>
  <c r="W50" i="79"/>
  <c r="V50" i="79"/>
  <c r="U50" i="79"/>
  <c r="T50" i="79"/>
  <c r="S50" i="79"/>
  <c r="R50" i="79"/>
  <c r="Q50" i="79"/>
  <c r="P50" i="79"/>
  <c r="O50" i="79"/>
  <c r="M50" i="79"/>
  <c r="L50" i="79"/>
  <c r="K50" i="79"/>
  <c r="J50" i="79"/>
  <c r="I50" i="79"/>
  <c r="H50" i="79"/>
  <c r="G50" i="79"/>
  <c r="F50" i="79"/>
  <c r="E50" i="79"/>
  <c r="D50"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N67" i="79"/>
  <c r="N64" i="79"/>
  <c r="N61" i="79"/>
  <c r="N58" i="79"/>
  <c r="N55" i="79"/>
  <c r="M39" i="79"/>
  <c r="L39" i="79"/>
  <c r="K39" i="79"/>
  <c r="J39" i="79"/>
  <c r="I39" i="79"/>
  <c r="H39" i="79"/>
  <c r="G39" i="79"/>
  <c r="F39" i="79"/>
  <c r="E39" i="79"/>
  <c r="D39" i="79"/>
  <c r="M38" i="79"/>
  <c r="L38" i="79"/>
  <c r="K38" i="79"/>
  <c r="J38" i="79"/>
  <c r="I38" i="79"/>
  <c r="H38" i="79"/>
  <c r="G38" i="79"/>
  <c r="F38" i="79"/>
  <c r="E38" i="79"/>
  <c r="D38" i="79"/>
  <c r="AX214" i="68"/>
  <c r="AY214" i="68" s="1"/>
  <c r="F508" i="79" s="1"/>
  <c r="F502" i="79"/>
  <c r="F496" i="79"/>
  <c r="F475" i="79"/>
  <c r="AX210" i="68"/>
  <c r="AY222" i="68"/>
  <c r="AY220" i="68"/>
  <c r="AZ220" i="68" l="1"/>
  <c r="E712" i="79"/>
  <c r="D578" i="79"/>
  <c r="AZ222" i="68"/>
  <c r="E764" i="79"/>
  <c r="AY210" i="68"/>
  <c r="F478" i="79" s="1"/>
  <c r="E478" i="79"/>
  <c r="E496" i="79"/>
  <c r="E475" i="79"/>
  <c r="E502" i="79"/>
  <c r="E508" i="79"/>
  <c r="BA222" i="68" l="1"/>
  <c r="F764" i="79"/>
  <c r="BA220" i="68"/>
  <c r="F712" i="79"/>
  <c r="F23" i="85"/>
  <c r="BB220" i="68" l="1"/>
  <c r="G712" i="79"/>
  <c r="BB222" i="68"/>
  <c r="G764" i="79"/>
  <c r="I23" i="85"/>
  <c r="O495" i="79" s="1"/>
  <c r="O578" i="79" s="1"/>
  <c r="BC222" i="68" l="1"/>
  <c r="I764" i="79" s="1"/>
  <c r="H764" i="79"/>
  <c r="BC220" i="68"/>
  <c r="I712" i="79" s="1"/>
  <c r="H712" i="79"/>
  <c r="D22" i="45"/>
  <c r="O950" i="79" l="1"/>
  <c r="E44" i="44" l="1"/>
  <c r="AM139" i="79" l="1"/>
  <c r="Q46" i="44"/>
  <c r="P46" i="44"/>
  <c r="O46" i="44"/>
  <c r="N46" i="44"/>
  <c r="M46" i="44"/>
  <c r="L46" i="44"/>
  <c r="K46" i="44"/>
  <c r="J46" i="44"/>
  <c r="I46" i="44"/>
  <c r="H46" i="44"/>
  <c r="G46" i="44"/>
  <c r="F46" i="44"/>
  <c r="E46" i="44"/>
  <c r="D46" i="44"/>
  <c r="O1133" i="79" l="1"/>
  <c r="O381" i="79"/>
  <c r="O195" i="79"/>
  <c r="O513" i="46"/>
  <c r="O127" i="46"/>
  <c r="D195" i="79"/>
  <c r="N637" i="79" l="1"/>
  <c r="N254" i="79"/>
  <c r="F22" i="45" l="1"/>
  <c r="Q52" i="43" l="1"/>
  <c r="N1131" i="79" l="1"/>
  <c r="N1128" i="79"/>
  <c r="N1125" i="79"/>
  <c r="N1122" i="79"/>
  <c r="N1119" i="79"/>
  <c r="N1116" i="79"/>
  <c r="N1113" i="79"/>
  <c r="N1107" i="79"/>
  <c r="N1104" i="79"/>
  <c r="N1101" i="79"/>
  <c r="N1098" i="79"/>
  <c r="N1095" i="79"/>
  <c r="N1092" i="79"/>
  <c r="N1088" i="79"/>
  <c r="N1085" i="79"/>
  <c r="N1082" i="79"/>
  <c r="N1078" i="79"/>
  <c r="N1075" i="79"/>
  <c r="N1072" i="79"/>
  <c r="N1069" i="79"/>
  <c r="N1066" i="79"/>
  <c r="N1063" i="79"/>
  <c r="N1060" i="79"/>
  <c r="N1057" i="79"/>
  <c r="N1039" i="79"/>
  <c r="N1036" i="79"/>
  <c r="N1033" i="79"/>
  <c r="N1030" i="79"/>
  <c r="N1026" i="79"/>
  <c r="N1023" i="79"/>
  <c r="N1019" i="79"/>
  <c r="N1015" i="79"/>
  <c r="N1012" i="79"/>
  <c r="N1009" i="79"/>
  <c r="N1005" i="79"/>
  <c r="N1002" i="79"/>
  <c r="N999" i="79"/>
  <c r="N996" i="79"/>
  <c r="N993" i="79"/>
  <c r="N948" i="79"/>
  <c r="N945" i="79"/>
  <c r="N942" i="79"/>
  <c r="N939" i="79"/>
  <c r="N936" i="79"/>
  <c r="N933" i="79"/>
  <c r="N930" i="79"/>
  <c r="N924" i="79"/>
  <c r="N921" i="79"/>
  <c r="N918" i="79"/>
  <c r="N915" i="79"/>
  <c r="N912" i="79"/>
  <c r="N909" i="79"/>
  <c r="N905" i="79"/>
  <c r="N902" i="79"/>
  <c r="N899" i="79"/>
  <c r="N895" i="79"/>
  <c r="N892" i="79"/>
  <c r="N889" i="79"/>
  <c r="N886" i="79"/>
  <c r="N883" i="79"/>
  <c r="N880" i="79"/>
  <c r="N877" i="79"/>
  <c r="N874" i="79"/>
  <c r="N856" i="79"/>
  <c r="N853" i="79"/>
  <c r="N850" i="79"/>
  <c r="N847" i="79"/>
  <c r="N843" i="79"/>
  <c r="N840" i="79"/>
  <c r="N836" i="79"/>
  <c r="N832" i="79"/>
  <c r="N829" i="79"/>
  <c r="N826" i="79"/>
  <c r="N822" i="79"/>
  <c r="N819" i="79"/>
  <c r="N816" i="79"/>
  <c r="N813" i="79"/>
  <c r="N810" i="79"/>
  <c r="N667" i="79"/>
  <c r="N664" i="79"/>
  <c r="N661" i="79"/>
  <c r="N658" i="79"/>
  <c r="N654" i="79"/>
  <c r="N651" i="79"/>
  <c r="N647" i="79"/>
  <c r="N643" i="79"/>
  <c r="N640" i="79"/>
  <c r="N633" i="79"/>
  <c r="N630" i="79"/>
  <c r="N627" i="79"/>
  <c r="N624" i="79"/>
  <c r="N621" i="79"/>
  <c r="N287" i="79"/>
  <c r="N284" i="79"/>
  <c r="N281" i="79"/>
  <c r="N275" i="79"/>
  <c r="N271" i="79"/>
  <c r="N268" i="79"/>
  <c r="N264" i="79"/>
  <c r="N260" i="79"/>
  <c r="N257" i="79"/>
  <c r="N250" i="79"/>
  <c r="N247" i="79"/>
  <c r="N244" i="79"/>
  <c r="N241" i="79"/>
  <c r="N238" i="79"/>
  <c r="AM1127" i="79" l="1"/>
  <c r="AM1130" i="79"/>
  <c r="AE1066" i="79"/>
  <c r="Z1066" i="79"/>
  <c r="Y1053" i="79"/>
  <c r="Y1050" i="79"/>
  <c r="AD1023" i="79"/>
  <c r="Z1023" i="79"/>
  <c r="Y1023" i="79"/>
  <c r="AM1029" i="79"/>
  <c r="Y1030" i="79"/>
  <c r="AL1026" i="79"/>
  <c r="AM1025"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C1023" i="79"/>
  <c r="AB1023" i="79"/>
  <c r="AA1023" i="79"/>
  <c r="AM1022" i="79"/>
  <c r="Y1019" i="79"/>
  <c r="Y1012" i="79"/>
  <c r="Y1009" i="79"/>
  <c r="Y1005" i="79"/>
  <c r="Y996" i="79"/>
  <c r="Y993" i="79"/>
  <c r="Y989" i="79"/>
  <c r="Y899" i="79"/>
  <c r="AL895" i="79"/>
  <c r="Y874" i="79"/>
  <c r="Y856" i="79"/>
  <c r="Y843" i="79"/>
  <c r="AL843" i="79"/>
  <c r="AK843" i="79"/>
  <c r="AJ843" i="79"/>
  <c r="AI843" i="79"/>
  <c r="AH843" i="79"/>
  <c r="AG843" i="79"/>
  <c r="AF843" i="79"/>
  <c r="AE843" i="79"/>
  <c r="AD843" i="79"/>
  <c r="AC843" i="79"/>
  <c r="AB843" i="79"/>
  <c r="AA843" i="79"/>
  <c r="Z843" i="79"/>
  <c r="AM842" i="79"/>
  <c r="AL840" i="79"/>
  <c r="AK840" i="79"/>
  <c r="AJ840" i="79"/>
  <c r="AI840" i="79"/>
  <c r="AH840" i="79"/>
  <c r="AG840" i="79"/>
  <c r="AF840" i="79"/>
  <c r="AE840" i="79"/>
  <c r="AD840" i="79"/>
  <c r="AC840" i="79"/>
  <c r="AB840" i="79"/>
  <c r="AA840" i="79"/>
  <c r="Z840" i="79"/>
  <c r="Y840" i="79"/>
  <c r="AM839" i="79"/>
  <c r="Y836" i="79"/>
  <c r="Y719" i="79"/>
  <c r="Y713" i="79"/>
  <c r="Y697" i="79"/>
  <c r="AM677" i="79"/>
  <c r="AM674" i="79"/>
  <c r="AM671" i="79"/>
  <c r="Y667" i="79"/>
  <c r="Y664" i="79"/>
  <c r="Y654" i="79"/>
  <c r="Y651" i="79"/>
  <c r="Y647" i="79"/>
  <c r="AL654" i="79"/>
  <c r="AK654" i="79"/>
  <c r="AJ654" i="79"/>
  <c r="AI654" i="79"/>
  <c r="AH654" i="79"/>
  <c r="AG654" i="79"/>
  <c r="AF654" i="79"/>
  <c r="AE654" i="79"/>
  <c r="AD654" i="79"/>
  <c r="AC654" i="79"/>
  <c r="AB654" i="79"/>
  <c r="AA654" i="79"/>
  <c r="Z654" i="79"/>
  <c r="AM653" i="79"/>
  <c r="AL651" i="79"/>
  <c r="AK651" i="79"/>
  <c r="AJ651" i="79"/>
  <c r="AI651" i="79"/>
  <c r="AH651" i="79"/>
  <c r="AG651" i="79"/>
  <c r="AF651" i="79"/>
  <c r="AE651" i="79"/>
  <c r="AD651" i="79"/>
  <c r="AC651" i="79"/>
  <c r="AB651" i="79"/>
  <c r="AA651" i="79"/>
  <c r="Z651" i="79"/>
  <c r="AM650" i="79"/>
  <c r="Y633" i="79"/>
  <c r="Y624" i="79"/>
  <c r="AM533" i="79"/>
  <c r="AM523" i="79"/>
  <c r="Y534"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21" i="79"/>
  <c r="AM1124" i="79"/>
  <c r="AM1118" i="79"/>
  <c r="AM1115" i="79"/>
  <c r="AM1112" i="79"/>
  <c r="AM1109" i="79"/>
  <c r="AM1106" i="79"/>
  <c r="AM1103" i="79"/>
  <c r="AM1100" i="79"/>
  <c r="AM1097" i="79"/>
  <c r="AM1094" i="79"/>
  <c r="AM1091" i="79"/>
  <c r="AM1087" i="79"/>
  <c r="AM1084" i="79"/>
  <c r="AM1081" i="79"/>
  <c r="AM1077" i="79"/>
  <c r="AM1074" i="79"/>
  <c r="AM1071" i="79"/>
  <c r="AM1068" i="79"/>
  <c r="AM1065" i="79"/>
  <c r="AM1062" i="79"/>
  <c r="AM1059" i="79"/>
  <c r="AM1056" i="79"/>
  <c r="AM1052" i="79"/>
  <c r="AM1049" i="79"/>
  <c r="AM1046" i="79"/>
  <c r="AM1043" i="79"/>
  <c r="AM1038" i="79"/>
  <c r="AM1035" i="79"/>
  <c r="AM1032" i="79"/>
  <c r="AM1018" i="79"/>
  <c r="AM1014" i="79"/>
  <c r="AM1011" i="79"/>
  <c r="AM1008" i="79"/>
  <c r="AM1004" i="79"/>
  <c r="AM1001" i="79"/>
  <c r="AM998" i="79"/>
  <c r="AM995" i="79"/>
  <c r="AM992" i="79"/>
  <c r="AM988" i="79"/>
  <c r="AM985" i="79"/>
  <c r="AM982" i="79"/>
  <c r="AM979" i="79"/>
  <c r="AM976" i="79"/>
  <c r="AM947" i="79"/>
  <c r="AM944" i="79"/>
  <c r="AM941" i="79"/>
  <c r="AM938" i="79"/>
  <c r="AM935" i="79"/>
  <c r="AM932" i="79"/>
  <c r="AM929" i="79"/>
  <c r="AM926" i="79"/>
  <c r="AM923" i="79"/>
  <c r="AM920" i="79"/>
  <c r="AM917" i="79"/>
  <c r="AM914" i="79"/>
  <c r="AM911" i="79"/>
  <c r="AM908" i="79"/>
  <c r="AM904" i="79"/>
  <c r="AM901" i="79"/>
  <c r="AM898" i="79"/>
  <c r="AM894" i="79"/>
  <c r="AM891" i="79"/>
  <c r="AM888" i="79"/>
  <c r="AM885" i="79"/>
  <c r="AM882" i="79"/>
  <c r="AM879" i="79"/>
  <c r="AM876" i="79"/>
  <c r="AM873" i="79"/>
  <c r="AM869" i="79"/>
  <c r="AM866" i="79"/>
  <c r="AM863" i="79"/>
  <c r="AM860" i="79"/>
  <c r="AM855" i="79"/>
  <c r="AM852" i="79"/>
  <c r="AM849" i="79"/>
  <c r="AM846" i="79"/>
  <c r="AM835" i="79"/>
  <c r="AM831" i="79"/>
  <c r="AM828" i="79"/>
  <c r="AM825" i="79"/>
  <c r="AM821" i="79"/>
  <c r="AM818" i="79"/>
  <c r="AM815" i="79"/>
  <c r="AM812" i="79"/>
  <c r="AM809" i="79"/>
  <c r="AM805" i="79"/>
  <c r="AM802" i="79"/>
  <c r="AM799" i="79"/>
  <c r="AM796" i="79"/>
  <c r="AM793" i="79"/>
  <c r="AM761" i="79"/>
  <c r="AM758" i="79"/>
  <c r="AM755" i="79"/>
  <c r="AM752" i="79"/>
  <c r="AM749" i="79"/>
  <c r="AM746" i="79"/>
  <c r="AM743" i="79"/>
  <c r="AM740" i="79"/>
  <c r="AM737" i="79"/>
  <c r="AM734" i="79"/>
  <c r="AM731" i="79"/>
  <c r="AM728" i="79"/>
  <c r="AM725" i="79"/>
  <c r="AM722" i="79"/>
  <c r="AM718" i="79"/>
  <c r="AM715" i="79"/>
  <c r="AM712" i="79"/>
  <c r="AM708" i="79"/>
  <c r="AM705" i="79"/>
  <c r="AM702" i="79"/>
  <c r="AM699" i="79"/>
  <c r="AM696" i="79"/>
  <c r="AM693" i="79"/>
  <c r="AM690" i="79"/>
  <c r="AM687" i="79"/>
  <c r="AM680" i="79"/>
  <c r="AM666" i="79"/>
  <c r="AM663" i="79"/>
  <c r="AM660" i="79"/>
  <c r="AM657" i="79"/>
  <c r="AM646" i="79"/>
  <c r="AM642" i="79"/>
  <c r="AM639" i="79"/>
  <c r="AM636" i="79"/>
  <c r="AM632" i="79"/>
  <c r="AM629" i="79"/>
  <c r="AM626" i="79"/>
  <c r="AM623" i="79"/>
  <c r="AM620" i="79"/>
  <c r="AM616" i="79"/>
  <c r="AM613" i="79"/>
  <c r="AM610" i="79"/>
  <c r="AM607" i="79"/>
  <c r="AM604" i="79"/>
  <c r="AM572" i="79"/>
  <c r="AM569" i="79"/>
  <c r="AM566" i="79"/>
  <c r="AM563" i="79"/>
  <c r="AM560" i="79"/>
  <c r="AM557" i="79"/>
  <c r="AM554" i="79"/>
  <c r="AM551" i="79"/>
  <c r="AM548" i="79"/>
  <c r="AM545" i="79"/>
  <c r="AM542" i="79"/>
  <c r="AM539" i="79"/>
  <c r="AM536" i="79"/>
  <c r="AM520" i="79"/>
  <c r="AM517" i="79"/>
  <c r="AM513" i="79"/>
  <c r="AM510" i="79"/>
  <c r="AM507" i="79"/>
  <c r="AM504" i="79"/>
  <c r="AM501" i="79"/>
  <c r="AM498" i="79"/>
  <c r="AM493" i="79"/>
  <c r="AM490"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30" i="79"/>
  <c r="AK1030" i="79"/>
  <c r="AJ1030" i="79"/>
  <c r="AI1030" i="79"/>
  <c r="AH1030" i="79"/>
  <c r="AG1030" i="79"/>
  <c r="AF1030" i="79"/>
  <c r="AE1030" i="79"/>
  <c r="AD1030" i="79"/>
  <c r="AC1030" i="79"/>
  <c r="AB1030" i="79"/>
  <c r="AA1030" i="79"/>
  <c r="Z1030" i="79"/>
  <c r="AL856" i="79"/>
  <c r="AK856" i="79"/>
  <c r="AJ856" i="79"/>
  <c r="AI856" i="79"/>
  <c r="AH856" i="79"/>
  <c r="AG856" i="79"/>
  <c r="AF856" i="79"/>
  <c r="AE856" i="79"/>
  <c r="AD856" i="79"/>
  <c r="AC856" i="79"/>
  <c r="AB856" i="79"/>
  <c r="AA856" i="79"/>
  <c r="Z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667" i="79" l="1"/>
  <c r="AK667" i="79"/>
  <c r="AJ667" i="79"/>
  <c r="AI667" i="79"/>
  <c r="AH667" i="79"/>
  <c r="AG667" i="79"/>
  <c r="AF667" i="79"/>
  <c r="AE667" i="79"/>
  <c r="AD667" i="79"/>
  <c r="AC667" i="79"/>
  <c r="AB667" i="79"/>
  <c r="AA667" i="79"/>
  <c r="Z667" i="79"/>
  <c r="AL664" i="79"/>
  <c r="AK664" i="79"/>
  <c r="AJ664" i="79"/>
  <c r="AI664" i="79"/>
  <c r="AH664" i="79"/>
  <c r="AG664" i="79"/>
  <c r="AF664" i="79"/>
  <c r="AE664" i="79"/>
  <c r="AD664" i="79"/>
  <c r="AC664" i="79"/>
  <c r="AB664" i="79"/>
  <c r="AA664" i="79"/>
  <c r="Z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AM121" i="46"/>
  <c r="Z122" i="46"/>
  <c r="AA122" i="46"/>
  <c r="AB122" i="46"/>
  <c r="AC122" i="46"/>
  <c r="AD122" i="46"/>
  <c r="AE122" i="46"/>
  <c r="AF122" i="46"/>
  <c r="AG122" i="46"/>
  <c r="AH122" i="46"/>
  <c r="AI122" i="46"/>
  <c r="AJ122" i="46"/>
  <c r="AK122" i="46"/>
  <c r="AL122" i="46"/>
  <c r="AM118" i="46"/>
  <c r="Z119" i="46"/>
  <c r="AA119"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AL109" i="46"/>
  <c r="AL112" i="46"/>
  <c r="Z112" i="46"/>
  <c r="AA112" i="46"/>
  <c r="AB112" i="46"/>
  <c r="AC112" i="46"/>
  <c r="AD112" i="46"/>
  <c r="AE112" i="46"/>
  <c r="AF112" i="46"/>
  <c r="AG112" i="46"/>
  <c r="AH112" i="46"/>
  <c r="AI112" i="46"/>
  <c r="AJ112" i="46"/>
  <c r="AK112"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A99" i="46"/>
  <c r="Z99" i="46"/>
  <c r="AL96" i="46"/>
  <c r="AK96" i="46"/>
  <c r="AJ96" i="46"/>
  <c r="AI96" i="46"/>
  <c r="AH96" i="46"/>
  <c r="AG96" i="46"/>
  <c r="AF96" i="46"/>
  <c r="AE96" i="46"/>
  <c r="AD96" i="46"/>
  <c r="AC96" i="46"/>
  <c r="AB96" i="46"/>
  <c r="AA96" i="46"/>
  <c r="Z96" i="46"/>
  <c r="AL69" i="46"/>
  <c r="AK69" i="46"/>
  <c r="AJ69" i="46"/>
  <c r="AI69" i="46"/>
  <c r="AH69" i="46"/>
  <c r="AG69" i="46"/>
  <c r="AF69" i="46"/>
  <c r="AE69" i="46"/>
  <c r="AD69" i="46"/>
  <c r="AC69" i="46"/>
  <c r="AB69" i="46"/>
  <c r="AL44" i="46"/>
  <c r="AK44" i="46"/>
  <c r="AJ44" i="46"/>
  <c r="AI44" i="46"/>
  <c r="AH44" i="46"/>
  <c r="AG44" i="46"/>
  <c r="AF44" i="46"/>
  <c r="AE44" i="46"/>
  <c r="AD44" i="46"/>
  <c r="AC44" i="46"/>
  <c r="AB44" i="46"/>
  <c r="AA44" i="46"/>
  <c r="Z44" i="46"/>
  <c r="AB106" i="46" l="1"/>
  <c r="AA106" i="46"/>
  <c r="AL1131" i="79" l="1"/>
  <c r="AK1131" i="79"/>
  <c r="AJ1131" i="79"/>
  <c r="AI1131" i="79"/>
  <c r="AH1131" i="79"/>
  <c r="AG1131" i="79"/>
  <c r="AF1131" i="79"/>
  <c r="AE1131" i="79"/>
  <c r="AD1131" i="79"/>
  <c r="AC1131" i="79"/>
  <c r="AB1131" i="79"/>
  <c r="AA1131" i="79"/>
  <c r="Z1131" i="79"/>
  <c r="Y1131" i="79"/>
  <c r="AL1128" i="79"/>
  <c r="AK1128" i="79"/>
  <c r="AJ1128" i="79"/>
  <c r="AI1128" i="79"/>
  <c r="AH1128" i="79"/>
  <c r="AG1128" i="79"/>
  <c r="AF1128" i="79"/>
  <c r="AE1128" i="79"/>
  <c r="AD1128" i="79"/>
  <c r="AC1128" i="79"/>
  <c r="AB1128" i="79"/>
  <c r="AA1128" i="79"/>
  <c r="Z1128" i="79"/>
  <c r="Y1128" i="79"/>
  <c r="AL1125" i="79"/>
  <c r="AK1125" i="79"/>
  <c r="AJ1125" i="79"/>
  <c r="AI1125" i="79"/>
  <c r="AH1125" i="79"/>
  <c r="AG1125" i="79"/>
  <c r="AF1125" i="79"/>
  <c r="AE1125" i="79"/>
  <c r="AD1125" i="79"/>
  <c r="AC1125" i="79"/>
  <c r="AB1125" i="79"/>
  <c r="AA1125" i="79"/>
  <c r="Z1125" i="79"/>
  <c r="Y1125" i="79"/>
  <c r="AL1122" i="79"/>
  <c r="AK1122" i="79"/>
  <c r="AJ1122" i="79"/>
  <c r="AI1122" i="79"/>
  <c r="AH1122" i="79"/>
  <c r="AG1122" i="79"/>
  <c r="AF1122" i="79"/>
  <c r="AE1122" i="79"/>
  <c r="AD1122" i="79"/>
  <c r="AC1122" i="79"/>
  <c r="AB1122" i="79"/>
  <c r="AA1122" i="79"/>
  <c r="Z1122" i="79"/>
  <c r="Y1122" i="79"/>
  <c r="AL1119" i="79"/>
  <c r="AK1119" i="79"/>
  <c r="AJ1119" i="79"/>
  <c r="AI1119" i="79"/>
  <c r="AH1119" i="79"/>
  <c r="AG1119" i="79"/>
  <c r="AF1119" i="79"/>
  <c r="AE1119" i="79"/>
  <c r="AD1119" i="79"/>
  <c r="AC1119" i="79"/>
  <c r="AB1119" i="79"/>
  <c r="AA1119" i="79"/>
  <c r="Z1119" i="79"/>
  <c r="Y1119" i="79"/>
  <c r="AL1116" i="79"/>
  <c r="AK1116" i="79"/>
  <c r="AJ1116" i="79"/>
  <c r="AI1116" i="79"/>
  <c r="AH1116" i="79"/>
  <c r="AG1116" i="79"/>
  <c r="AF1116" i="79"/>
  <c r="AE1116" i="79"/>
  <c r="AD1116" i="79"/>
  <c r="AC1116" i="79"/>
  <c r="AB1116" i="79"/>
  <c r="AA1116" i="79"/>
  <c r="Z1116" i="79"/>
  <c r="Y1116" i="79"/>
  <c r="AL1113" i="79"/>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D1066" i="79"/>
  <c r="AC1066" i="79"/>
  <c r="AB1066" i="79"/>
  <c r="AA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3" i="79"/>
  <c r="AK1053" i="79"/>
  <c r="AJ1053" i="79"/>
  <c r="AI1053" i="79"/>
  <c r="AH1053" i="79"/>
  <c r="AG1053" i="79"/>
  <c r="AF1053" i="79"/>
  <c r="AE1053" i="79"/>
  <c r="AD1053" i="79"/>
  <c r="AC1053" i="79"/>
  <c r="AB1053" i="79"/>
  <c r="AA1053" i="79"/>
  <c r="Z1053" i="79"/>
  <c r="AL1050" i="79"/>
  <c r="AK1050" i="79"/>
  <c r="AJ1050" i="79"/>
  <c r="AI1050" i="79"/>
  <c r="AH1050" i="79"/>
  <c r="AG1050" i="79"/>
  <c r="AF1050" i="79"/>
  <c r="AE1050" i="79"/>
  <c r="AD1050" i="79"/>
  <c r="AC1050" i="79"/>
  <c r="AB1050" i="79"/>
  <c r="AA1050" i="79"/>
  <c r="Z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19" i="79"/>
  <c r="AK1019" i="79"/>
  <c r="AJ1019" i="79"/>
  <c r="AI1019" i="79"/>
  <c r="AH1019" i="79"/>
  <c r="AG1019" i="79"/>
  <c r="AF1019" i="79"/>
  <c r="AE1019" i="79"/>
  <c r="AD1019" i="79"/>
  <c r="AC1019" i="79"/>
  <c r="AB1019" i="79"/>
  <c r="AA1019" i="79"/>
  <c r="Z1019"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1009" i="79"/>
  <c r="AK1009" i="79"/>
  <c r="AJ1009" i="79"/>
  <c r="AI1009" i="79"/>
  <c r="AH1009" i="79"/>
  <c r="AG1009" i="79"/>
  <c r="AF1009" i="79"/>
  <c r="AE1009" i="79"/>
  <c r="AD1009" i="79"/>
  <c r="AC1009" i="79"/>
  <c r="AB1009" i="79"/>
  <c r="AA1009" i="79"/>
  <c r="Z1009" i="79"/>
  <c r="AL1005" i="79"/>
  <c r="AK1005" i="79"/>
  <c r="AJ1005" i="79"/>
  <c r="AI1005" i="79"/>
  <c r="AH1005" i="79"/>
  <c r="AG1005" i="79"/>
  <c r="AF1005" i="79"/>
  <c r="AE1005" i="79"/>
  <c r="AD1005" i="79"/>
  <c r="AC1005" i="79"/>
  <c r="AB1005" i="79"/>
  <c r="AA1005" i="79"/>
  <c r="Z1005" i="79"/>
  <c r="AL1002" i="79"/>
  <c r="AK1002" i="79"/>
  <c r="AJ1002" i="79"/>
  <c r="AI1002" i="79"/>
  <c r="AH1002" i="79"/>
  <c r="AG1002" i="79"/>
  <c r="AF1002" i="79"/>
  <c r="AE1002" i="79"/>
  <c r="AD1002" i="79"/>
  <c r="AC1002" i="79"/>
  <c r="AB1002" i="79"/>
  <c r="AA1002" i="79"/>
  <c r="Z1002" i="79"/>
  <c r="Y1002" i="79"/>
  <c r="AL999" i="79"/>
  <c r="AK999" i="79"/>
  <c r="AJ999" i="79"/>
  <c r="AI999" i="79"/>
  <c r="AH999" i="79"/>
  <c r="AG999" i="79"/>
  <c r="AF999" i="79"/>
  <c r="AE999" i="79"/>
  <c r="AD999" i="79"/>
  <c r="AC999" i="79"/>
  <c r="AB999" i="79"/>
  <c r="AA999" i="79"/>
  <c r="Z999" i="79"/>
  <c r="Y999" i="79"/>
  <c r="AL996" i="79"/>
  <c r="AK996" i="79"/>
  <c r="AJ996" i="79"/>
  <c r="AI996" i="79"/>
  <c r="AH996" i="79"/>
  <c r="AG996" i="79"/>
  <c r="AF996" i="79"/>
  <c r="AE996" i="79"/>
  <c r="AD996" i="79"/>
  <c r="AC996" i="79"/>
  <c r="AB996" i="79"/>
  <c r="AA996" i="79"/>
  <c r="Z996"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Y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Y977" i="79"/>
  <c r="AL948" i="79"/>
  <c r="AK948" i="79"/>
  <c r="AJ948" i="79"/>
  <c r="AI948" i="79"/>
  <c r="AH948" i="79"/>
  <c r="AG948" i="79"/>
  <c r="AF948" i="79"/>
  <c r="AE948" i="79"/>
  <c r="AD948" i="79"/>
  <c r="AC948" i="79"/>
  <c r="AB948" i="79"/>
  <c r="AA948" i="79"/>
  <c r="Z948" i="79"/>
  <c r="Y948" i="79"/>
  <c r="AL945" i="79"/>
  <c r="AK945" i="79"/>
  <c r="AJ945" i="79"/>
  <c r="AI945" i="79"/>
  <c r="AH945" i="79"/>
  <c r="AG945" i="79"/>
  <c r="AF945" i="79"/>
  <c r="AE945" i="79"/>
  <c r="AD945" i="79"/>
  <c r="AC945" i="79"/>
  <c r="AB945" i="79"/>
  <c r="AA945" i="79"/>
  <c r="Z945" i="79"/>
  <c r="Y945" i="79"/>
  <c r="AL942" i="79"/>
  <c r="AK942" i="79"/>
  <c r="AJ942" i="79"/>
  <c r="AI942" i="79"/>
  <c r="AH942" i="79"/>
  <c r="AG942" i="79"/>
  <c r="AF942" i="79"/>
  <c r="AE942" i="79"/>
  <c r="AD942" i="79"/>
  <c r="AC942" i="79"/>
  <c r="AB942" i="79"/>
  <c r="AA942" i="79"/>
  <c r="Z942" i="79"/>
  <c r="Y942" i="79"/>
  <c r="AL939" i="79"/>
  <c r="AK939" i="79"/>
  <c r="AJ939" i="79"/>
  <c r="AI939" i="79"/>
  <c r="AH939" i="79"/>
  <c r="AG939" i="79"/>
  <c r="AF939" i="79"/>
  <c r="AE939" i="79"/>
  <c r="AD939" i="79"/>
  <c r="AC939" i="79"/>
  <c r="AB939" i="79"/>
  <c r="AA939" i="79"/>
  <c r="Z939" i="79"/>
  <c r="Y939" i="79"/>
  <c r="AL936" i="79"/>
  <c r="AK936" i="79"/>
  <c r="AJ936" i="79"/>
  <c r="AI936" i="79"/>
  <c r="AH936" i="79"/>
  <c r="AG936" i="79"/>
  <c r="AF936" i="79"/>
  <c r="AE936" i="79"/>
  <c r="AD936" i="79"/>
  <c r="AC936" i="79"/>
  <c r="AB936" i="79"/>
  <c r="AA936" i="79"/>
  <c r="Z936" i="79"/>
  <c r="Y936"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36" i="79"/>
  <c r="AK836" i="79"/>
  <c r="AJ836" i="79"/>
  <c r="AI836" i="79"/>
  <c r="AH836" i="79"/>
  <c r="AG836" i="79"/>
  <c r="AF836" i="79"/>
  <c r="AE836" i="79"/>
  <c r="AD836" i="79"/>
  <c r="AC836" i="79"/>
  <c r="AB836" i="79"/>
  <c r="AA836" i="79"/>
  <c r="Z836"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AL826" i="79"/>
  <c r="AK826" i="79"/>
  <c r="AJ826" i="79"/>
  <c r="AI826" i="79"/>
  <c r="AH826" i="79"/>
  <c r="AG826" i="79"/>
  <c r="AF826" i="79"/>
  <c r="AE826" i="79"/>
  <c r="AD826" i="79"/>
  <c r="AC826" i="79"/>
  <c r="AB826" i="79"/>
  <c r="AA826" i="79"/>
  <c r="Z826" i="79"/>
  <c r="Y826" i="79"/>
  <c r="AL822" i="79"/>
  <c r="AK822" i="79"/>
  <c r="AJ822" i="79"/>
  <c r="AI822" i="79"/>
  <c r="AH822" i="79"/>
  <c r="AG822" i="79"/>
  <c r="AF822" i="79"/>
  <c r="AE822" i="79"/>
  <c r="AD822" i="79"/>
  <c r="AC822" i="79"/>
  <c r="AB822" i="79"/>
  <c r="AA822" i="79"/>
  <c r="Z822" i="79"/>
  <c r="Y822" i="79"/>
  <c r="AL819" i="79"/>
  <c r="AK819" i="79"/>
  <c r="AJ819" i="79"/>
  <c r="AI819" i="79"/>
  <c r="AH819" i="79"/>
  <c r="AG819" i="79"/>
  <c r="AF819" i="79"/>
  <c r="AE819" i="79"/>
  <c r="AD819" i="79"/>
  <c r="AC819" i="79"/>
  <c r="AB819" i="79"/>
  <c r="AA819" i="79"/>
  <c r="Z819" i="79"/>
  <c r="Y819"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62" i="79"/>
  <c r="AK762" i="79"/>
  <c r="AJ762" i="79"/>
  <c r="AI762" i="79"/>
  <c r="AH762" i="79"/>
  <c r="AG762" i="79"/>
  <c r="AF762" i="79"/>
  <c r="AE762" i="79"/>
  <c r="AD762" i="79"/>
  <c r="AC762" i="79"/>
  <c r="AB762" i="79"/>
  <c r="AA762" i="79"/>
  <c r="Z762" i="79"/>
  <c r="Y762" i="79"/>
  <c r="AL759" i="79"/>
  <c r="AK759" i="79"/>
  <c r="AJ759" i="79"/>
  <c r="AI759" i="79"/>
  <c r="AH759" i="79"/>
  <c r="AG759" i="79"/>
  <c r="AF759" i="79"/>
  <c r="AE759" i="79"/>
  <c r="AD759" i="79"/>
  <c r="AC759" i="79"/>
  <c r="AB759" i="79"/>
  <c r="AA759" i="79"/>
  <c r="Z759" i="79"/>
  <c r="Y759" i="79"/>
  <c r="AL756" i="79"/>
  <c r="AK756" i="79"/>
  <c r="AJ756" i="79"/>
  <c r="AI756" i="79"/>
  <c r="AH756" i="79"/>
  <c r="AG756" i="79"/>
  <c r="AF756" i="79"/>
  <c r="AE756" i="79"/>
  <c r="AD756" i="79"/>
  <c r="AC756" i="79"/>
  <c r="AB756" i="79"/>
  <c r="AA756" i="79"/>
  <c r="Z756" i="79"/>
  <c r="Y756" i="79"/>
  <c r="AL753" i="79"/>
  <c r="AK753" i="79"/>
  <c r="AJ753" i="79"/>
  <c r="AI753" i="79"/>
  <c r="AH753" i="79"/>
  <c r="AG753" i="79"/>
  <c r="AF753" i="79"/>
  <c r="AE753" i="79"/>
  <c r="AD753" i="79"/>
  <c r="AC753" i="79"/>
  <c r="AB753" i="79"/>
  <c r="AA753" i="79"/>
  <c r="Z753" i="79"/>
  <c r="Y753" i="79"/>
  <c r="AL750" i="79"/>
  <c r="AK750" i="79"/>
  <c r="AJ750" i="79"/>
  <c r="AI750" i="79"/>
  <c r="AH750" i="79"/>
  <c r="AG750" i="79"/>
  <c r="AF750" i="79"/>
  <c r="AE750" i="79"/>
  <c r="AD750" i="79"/>
  <c r="AC750" i="79"/>
  <c r="AB750" i="79"/>
  <c r="AA750" i="79"/>
  <c r="Z750" i="79"/>
  <c r="Y750"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19" i="79"/>
  <c r="AK719" i="79"/>
  <c r="AJ719" i="79"/>
  <c r="AI719" i="79"/>
  <c r="AH719" i="79"/>
  <c r="AG719" i="79"/>
  <c r="AF719" i="79"/>
  <c r="AE719" i="79"/>
  <c r="AD719" i="79"/>
  <c r="AC719" i="79"/>
  <c r="AB719" i="79"/>
  <c r="AA719" i="79"/>
  <c r="Z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AA767" i="79" s="1"/>
  <c r="Z691" i="79"/>
  <c r="Y691" i="79"/>
  <c r="AL688" i="79"/>
  <c r="AK688" i="79"/>
  <c r="AJ688" i="79"/>
  <c r="AI688" i="79"/>
  <c r="AH688" i="79"/>
  <c r="AG688" i="79"/>
  <c r="AF688" i="79"/>
  <c r="AE688" i="79"/>
  <c r="AD688" i="79"/>
  <c r="AC688" i="79"/>
  <c r="AB688" i="79"/>
  <c r="AA688" i="79"/>
  <c r="Z688" i="79"/>
  <c r="Y688" i="79"/>
  <c r="AL681" i="79"/>
  <c r="AK681" i="79"/>
  <c r="AJ681" i="79"/>
  <c r="AI681" i="79"/>
  <c r="AH681" i="79"/>
  <c r="AG681" i="79"/>
  <c r="AF681" i="79"/>
  <c r="AE681" i="79"/>
  <c r="AD681" i="79"/>
  <c r="AC681" i="79"/>
  <c r="AB681" i="79"/>
  <c r="AA681" i="79"/>
  <c r="Z681" i="79"/>
  <c r="Y681" i="79"/>
  <c r="AL678" i="79"/>
  <c r="AK678" i="79"/>
  <c r="AJ678" i="79"/>
  <c r="AI678" i="79"/>
  <c r="AH678" i="79"/>
  <c r="AG678" i="79"/>
  <c r="AF678" i="79"/>
  <c r="AE678" i="79"/>
  <c r="AD678" i="79"/>
  <c r="AC678" i="79"/>
  <c r="AB678" i="79"/>
  <c r="AA678" i="79"/>
  <c r="Z678" i="79"/>
  <c r="Y678"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47" i="79"/>
  <c r="AK647" i="79"/>
  <c r="AJ647" i="79"/>
  <c r="AI647" i="79"/>
  <c r="AH647" i="79"/>
  <c r="AG647" i="79"/>
  <c r="AF647" i="79"/>
  <c r="AE647" i="79"/>
  <c r="AD647" i="79"/>
  <c r="AC647" i="79"/>
  <c r="AB647" i="79"/>
  <c r="AA647" i="79"/>
  <c r="Z647" i="79"/>
  <c r="AL643" i="79"/>
  <c r="AK643" i="79"/>
  <c r="AJ643" i="79"/>
  <c r="AI643" i="79"/>
  <c r="AH643" i="79"/>
  <c r="AG643" i="79"/>
  <c r="AF643" i="79"/>
  <c r="AE643" i="79"/>
  <c r="AD643" i="79"/>
  <c r="AC643" i="79"/>
  <c r="AB643" i="79"/>
  <c r="AA643" i="79"/>
  <c r="Z643" i="79"/>
  <c r="Y643" i="79"/>
  <c r="AL640" i="79"/>
  <c r="AK640" i="79"/>
  <c r="AJ640" i="79"/>
  <c r="AI640" i="79"/>
  <c r="AH640" i="79"/>
  <c r="AG640" i="79"/>
  <c r="AF640" i="79"/>
  <c r="AE640" i="79"/>
  <c r="AD640" i="79"/>
  <c r="AC640" i="79"/>
  <c r="AB640" i="79"/>
  <c r="AA640" i="79"/>
  <c r="Z640" i="79"/>
  <c r="Y640" i="79"/>
  <c r="AL637" i="79"/>
  <c r="AK637" i="79"/>
  <c r="AJ637" i="79"/>
  <c r="AI637" i="79"/>
  <c r="AH637" i="79"/>
  <c r="AG637" i="79"/>
  <c r="AF637" i="79"/>
  <c r="AE637" i="79"/>
  <c r="AD637" i="79"/>
  <c r="AC637" i="79"/>
  <c r="AB637" i="79"/>
  <c r="AA637" i="79"/>
  <c r="Z637" i="79"/>
  <c r="Y637" i="79"/>
  <c r="AL633" i="79"/>
  <c r="AK633" i="79"/>
  <c r="AJ633" i="79"/>
  <c r="AI633" i="79"/>
  <c r="AH633" i="79"/>
  <c r="AG633" i="79"/>
  <c r="AF633" i="79"/>
  <c r="AE633" i="79"/>
  <c r="AD633" i="79"/>
  <c r="AC633" i="79"/>
  <c r="AB633" i="79"/>
  <c r="AA633" i="79"/>
  <c r="Z633" i="79"/>
  <c r="AL630" i="79"/>
  <c r="AK630" i="79"/>
  <c r="AJ630" i="79"/>
  <c r="AI630" i="79"/>
  <c r="AH630" i="79"/>
  <c r="AG630" i="79"/>
  <c r="AF630" i="79"/>
  <c r="AE630" i="79"/>
  <c r="AD630" i="79"/>
  <c r="AC630" i="79"/>
  <c r="AB630" i="79"/>
  <c r="AA630" i="79"/>
  <c r="Z630" i="79"/>
  <c r="Y630" i="79"/>
  <c r="AL627" i="79"/>
  <c r="AK627" i="79"/>
  <c r="AJ627" i="79"/>
  <c r="AI627" i="79"/>
  <c r="AH627" i="79"/>
  <c r="AG627" i="79"/>
  <c r="AF627" i="79"/>
  <c r="AE627" i="79"/>
  <c r="AD627" i="79"/>
  <c r="AC627" i="79"/>
  <c r="AB627" i="79"/>
  <c r="AA627" i="79"/>
  <c r="Z627" i="79"/>
  <c r="Y627" i="79"/>
  <c r="AL624" i="79"/>
  <c r="AK624" i="79"/>
  <c r="AJ624" i="79"/>
  <c r="AI624" i="79"/>
  <c r="AH624" i="79"/>
  <c r="AG624" i="79"/>
  <c r="AF624" i="79"/>
  <c r="AE624" i="79"/>
  <c r="AD624" i="79"/>
  <c r="AC624" i="79"/>
  <c r="AB624" i="79"/>
  <c r="AA624" i="79"/>
  <c r="Z624" i="79"/>
  <c r="AL621" i="79"/>
  <c r="AK621" i="79"/>
  <c r="AJ621" i="79"/>
  <c r="AI621" i="79"/>
  <c r="AH621" i="79"/>
  <c r="AG621" i="79"/>
  <c r="AF621" i="79"/>
  <c r="AE621" i="79"/>
  <c r="AD621" i="79"/>
  <c r="AC621" i="79"/>
  <c r="AB621" i="79"/>
  <c r="AA621" i="79"/>
  <c r="Z621" i="79"/>
  <c r="Y621" i="79"/>
  <c r="AL617" i="79"/>
  <c r="AK617" i="79"/>
  <c r="AJ617" i="79"/>
  <c r="AI617" i="79"/>
  <c r="AH617" i="79"/>
  <c r="AG617" i="79"/>
  <c r="AF617" i="79"/>
  <c r="AE617" i="79"/>
  <c r="AD617" i="79"/>
  <c r="AC617" i="79"/>
  <c r="AB617" i="79"/>
  <c r="AA617" i="79"/>
  <c r="Z617" i="79"/>
  <c r="Y617" i="79"/>
  <c r="AL614" i="79"/>
  <c r="AK614" i="79"/>
  <c r="AJ614" i="79"/>
  <c r="AI614" i="79"/>
  <c r="AH614" i="79"/>
  <c r="AG614" i="79"/>
  <c r="AF614" i="79"/>
  <c r="AE614" i="79"/>
  <c r="AD614" i="79"/>
  <c r="AC614" i="79"/>
  <c r="AB614" i="79"/>
  <c r="AA614" i="79"/>
  <c r="Z614" i="79"/>
  <c r="Y614" i="79"/>
  <c r="AL611" i="79"/>
  <c r="AK611" i="79"/>
  <c r="AJ611" i="79"/>
  <c r="AI611" i="79"/>
  <c r="AH611" i="79"/>
  <c r="AG611" i="79"/>
  <c r="AF611" i="79"/>
  <c r="AE611" i="79"/>
  <c r="AD611" i="79"/>
  <c r="AC611" i="79"/>
  <c r="AB611" i="79"/>
  <c r="AA611" i="79"/>
  <c r="Z611" i="79"/>
  <c r="Y611" i="79"/>
  <c r="AL608" i="79"/>
  <c r="AK608" i="79"/>
  <c r="AJ608" i="79"/>
  <c r="AI608" i="79"/>
  <c r="AH608" i="79"/>
  <c r="AG608" i="79"/>
  <c r="AF608" i="79"/>
  <c r="AE608" i="79"/>
  <c r="AD608" i="79"/>
  <c r="AC608" i="79"/>
  <c r="AB608" i="79"/>
  <c r="AA608" i="79"/>
  <c r="Z608" i="79"/>
  <c r="Y608" i="79"/>
  <c r="AL605" i="79"/>
  <c r="AK605" i="79"/>
  <c r="AJ605" i="79"/>
  <c r="AI605" i="79"/>
  <c r="AH605" i="79"/>
  <c r="AG605" i="79"/>
  <c r="AF605" i="79"/>
  <c r="AE605" i="79"/>
  <c r="AD605" i="79"/>
  <c r="AC605" i="79"/>
  <c r="AB605" i="79"/>
  <c r="AA605" i="79"/>
  <c r="Z605" i="79"/>
  <c r="Y605" i="79"/>
  <c r="AL573" i="79"/>
  <c r="AK573" i="79"/>
  <c r="AJ573" i="79"/>
  <c r="AI573" i="79"/>
  <c r="AH573" i="79"/>
  <c r="AG573" i="79"/>
  <c r="AF573" i="79"/>
  <c r="AE573" i="79"/>
  <c r="AD573" i="79"/>
  <c r="AC573" i="79"/>
  <c r="AB573" i="79"/>
  <c r="AA573" i="79"/>
  <c r="Z573" i="79"/>
  <c r="Y573" i="79"/>
  <c r="AL570" i="79"/>
  <c r="AK570" i="79"/>
  <c r="AJ570" i="79"/>
  <c r="AI570" i="79"/>
  <c r="AH570" i="79"/>
  <c r="AG570" i="79"/>
  <c r="AF570" i="79"/>
  <c r="AE570" i="79"/>
  <c r="AD570" i="79"/>
  <c r="AC570" i="79"/>
  <c r="AB570" i="79"/>
  <c r="AA570" i="79"/>
  <c r="Z570" i="79"/>
  <c r="Y570" i="79"/>
  <c r="AL567" i="79"/>
  <c r="AK567" i="79"/>
  <c r="AJ567" i="79"/>
  <c r="AI567" i="79"/>
  <c r="AH567" i="79"/>
  <c r="AG567" i="79"/>
  <c r="AF567" i="79"/>
  <c r="AE567" i="79"/>
  <c r="AD567" i="79"/>
  <c r="AC567" i="79"/>
  <c r="AB567" i="79"/>
  <c r="AA567" i="79"/>
  <c r="Z567" i="79"/>
  <c r="Y567"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1" i="79"/>
  <c r="AK491" i="79"/>
  <c r="AJ491" i="79"/>
  <c r="AI491" i="79"/>
  <c r="AH491" i="79"/>
  <c r="AG491" i="79"/>
  <c r="AF491" i="79"/>
  <c r="AE491" i="79"/>
  <c r="AD491" i="79"/>
  <c r="AC491" i="79"/>
  <c r="AB491" i="79"/>
  <c r="AA491" i="79"/>
  <c r="Z491" i="79"/>
  <c r="Y491"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A92" i="46"/>
  <c r="Z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A82" i="46"/>
  <c r="Z82" i="46"/>
  <c r="AL79" i="46"/>
  <c r="AK79" i="46"/>
  <c r="AJ79" i="46"/>
  <c r="AI79" i="46"/>
  <c r="AH79" i="46"/>
  <c r="AG79" i="46"/>
  <c r="AF79" i="46"/>
  <c r="AE79" i="46"/>
  <c r="AD79" i="46"/>
  <c r="AC79" i="46"/>
  <c r="AB79" i="46"/>
  <c r="AA79" i="46"/>
  <c r="Z79" i="46"/>
  <c r="AL76" i="46"/>
  <c r="AK76" i="46"/>
  <c r="AJ76" i="46"/>
  <c r="AI76" i="46"/>
  <c r="AH76" i="46"/>
  <c r="AG76" i="46"/>
  <c r="AF76" i="46"/>
  <c r="AE76" i="46"/>
  <c r="AD76" i="46"/>
  <c r="AC76" i="46"/>
  <c r="AB76" i="46"/>
  <c r="AA76" i="46"/>
  <c r="Z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Y767" i="79" l="1"/>
  <c r="Z767" i="79"/>
  <c r="Z593" i="79"/>
  <c r="Y783" i="79"/>
  <c r="Y967" i="79"/>
  <c r="Y268" i="46"/>
  <c r="Y265" i="46"/>
  <c r="Y526" i="46"/>
  <c r="Y395" i="46"/>
  <c r="Y135" i="46"/>
  <c r="E3" i="80"/>
  <c r="E2" i="80"/>
  <c r="P52" i="43" l="1"/>
  <c r="O52" i="43"/>
  <c r="N52" i="43"/>
  <c r="M52" i="43"/>
  <c r="L52" i="43"/>
  <c r="K52" i="43"/>
  <c r="J52" i="43"/>
  <c r="I52" i="43"/>
  <c r="H52" i="43"/>
  <c r="G52" i="43"/>
  <c r="AB404" i="79" s="1"/>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D540" i="46" s="1"/>
  <c r="Y784" i="79"/>
  <c r="C544" i="46" s="1"/>
  <c r="Y595" i="79"/>
  <c r="C543" i="46" s="1"/>
  <c r="Y593" i="79"/>
  <c r="Y594" i="79"/>
  <c r="Y395" i="79"/>
  <c r="Y398" i="79"/>
  <c r="C542" i="46" s="1"/>
  <c r="Y397" i="79"/>
  <c r="Y396" i="79"/>
  <c r="Z397" i="79"/>
  <c r="Z395" i="79"/>
  <c r="Z396" i="79"/>
  <c r="Y531" i="46"/>
  <c r="C537" i="46" s="1"/>
  <c r="Z529" i="46"/>
  <c r="Z531" i="46"/>
  <c r="D537" i="46" s="1"/>
  <c r="Z530" i="46"/>
  <c r="Z526" i="46"/>
  <c r="Z528" i="46"/>
  <c r="Z527" i="46"/>
  <c r="Y527" i="46"/>
  <c r="Y528" i="46"/>
  <c r="Y530" i="46"/>
  <c r="Y529" i="46"/>
  <c r="Z396" i="46"/>
  <c r="Z398" i="46"/>
  <c r="Z397" i="46"/>
  <c r="Z399" i="46"/>
  <c r="Z395" i="46"/>
  <c r="Z401" i="46"/>
  <c r="D538" i="46" s="1"/>
  <c r="Z400" i="46"/>
  <c r="Y266" i="46"/>
  <c r="Y272" i="46"/>
  <c r="C539" i="46" s="1"/>
  <c r="Y271" i="46"/>
  <c r="Y269" i="46"/>
  <c r="Y267" i="46"/>
  <c r="Y270" i="46"/>
  <c r="Z270" i="46"/>
  <c r="Z268" i="46"/>
  <c r="Z265" i="46"/>
  <c r="Z271" i="46"/>
  <c r="Z269" i="46"/>
  <c r="Z267" i="46"/>
  <c r="Z266" i="46"/>
  <c r="Z272" i="46"/>
  <c r="D539" i="46" s="1"/>
  <c r="Z135" i="46"/>
  <c r="Z137" i="46"/>
  <c r="Z136" i="46"/>
  <c r="AM973" i="79" l="1"/>
  <c r="AM790" i="79"/>
  <c r="AM601"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5" i="79"/>
  <c r="AF405" i="79"/>
  <c r="AJ602" i="79"/>
  <c r="AF602" i="79"/>
  <c r="AJ791" i="79"/>
  <c r="AF791" i="79"/>
  <c r="AJ974" i="79"/>
  <c r="AF974" i="79"/>
  <c r="K14" i="44"/>
  <c r="K18" i="44" s="1"/>
  <c r="O14" i="44"/>
  <c r="O18" i="44" s="1"/>
  <c r="O29" i="44"/>
  <c r="O33" i="44" s="1"/>
  <c r="O43" i="44"/>
  <c r="C95" i="45" s="1"/>
  <c r="AF21" i="46"/>
  <c r="AI149" i="46"/>
  <c r="AI278" i="46"/>
  <c r="AI407" i="46"/>
  <c r="AI36" i="79"/>
  <c r="AI219" i="79"/>
  <c r="AI405" i="79"/>
  <c r="AI602" i="79"/>
  <c r="AI791" i="79"/>
  <c r="AI974" i="79"/>
  <c r="M43" i="44"/>
  <c r="AL21" i="46"/>
  <c r="AL149" i="46"/>
  <c r="AH149" i="46"/>
  <c r="AL278" i="46"/>
  <c r="AH278" i="46"/>
  <c r="AL407" i="46"/>
  <c r="AH407" i="46"/>
  <c r="AL36" i="79"/>
  <c r="AH36" i="79"/>
  <c r="AL219" i="79"/>
  <c r="AH219" i="79"/>
  <c r="AL405" i="79"/>
  <c r="AH405" i="79"/>
  <c r="AL602" i="79"/>
  <c r="AH602" i="79"/>
  <c r="AL791" i="79"/>
  <c r="AH791" i="79"/>
  <c r="AL974" i="79"/>
  <c r="AH974" i="79"/>
  <c r="N29" i="44"/>
  <c r="N33" i="44" s="1"/>
  <c r="K43" i="44"/>
  <c r="K53" i="44" s="1"/>
  <c r="AH21" i="46"/>
  <c r="AK21" i="46"/>
  <c r="AK149" i="46"/>
  <c r="AG149" i="46"/>
  <c r="AK278" i="46"/>
  <c r="AG278" i="46"/>
  <c r="AK407" i="46"/>
  <c r="AG407" i="46"/>
  <c r="AK36" i="79"/>
  <c r="AG36" i="79"/>
  <c r="AK219" i="79"/>
  <c r="AG219" i="79"/>
  <c r="AK405" i="79"/>
  <c r="AG405" i="79"/>
  <c r="AK602" i="79"/>
  <c r="AG602" i="79"/>
  <c r="AK791" i="79"/>
  <c r="AG791" i="79"/>
  <c r="AK974" i="79"/>
  <c r="AK1133" i="79" s="1"/>
  <c r="AG974" i="79"/>
  <c r="K122" i="45"/>
  <c r="AK404" i="79"/>
  <c r="AJ20" i="46"/>
  <c r="AG601" i="79"/>
  <c r="AG148" i="46"/>
  <c r="AK406" i="46"/>
  <c r="AF790" i="79"/>
  <c r="AG35" i="79"/>
  <c r="L13" i="44"/>
  <c r="P13" i="44"/>
  <c r="S14" i="47"/>
  <c r="AF148" i="46"/>
  <c r="AK277" i="46"/>
  <c r="AG406" i="46"/>
  <c r="AF35" i="79"/>
  <c r="AI404" i="79"/>
  <c r="AK790" i="79"/>
  <c r="AJ973" i="79"/>
  <c r="N28" i="44"/>
  <c r="Q14" i="47"/>
  <c r="AI20" i="46"/>
  <c r="AK148" i="46"/>
  <c r="AI277" i="46"/>
  <c r="AK35" i="79"/>
  <c r="AJ218" i="79"/>
  <c r="AG404" i="79"/>
  <c r="AJ790" i="79"/>
  <c r="AF973" i="79"/>
  <c r="O122" i="45"/>
  <c r="U14" i="47"/>
  <c r="AG20" i="46"/>
  <c r="AK20" i="46"/>
  <c r="AJ148" i="46"/>
  <c r="AG277" i="46"/>
  <c r="AJ35" i="79"/>
  <c r="AF218" i="79"/>
  <c r="AK601" i="79"/>
  <c r="AG790" i="79"/>
  <c r="V14" i="47"/>
  <c r="AL406" i="46"/>
  <c r="AH406" i="46"/>
  <c r="AL601" i="79"/>
  <c r="AH601" i="79"/>
  <c r="N13" i="44"/>
  <c r="M122" i="45"/>
  <c r="M28" i="44"/>
  <c r="Q42" i="44"/>
  <c r="R14" i="47"/>
  <c r="AH20" i="46"/>
  <c r="AL277" i="46"/>
  <c r="AH277" i="46"/>
  <c r="AI218" i="79"/>
  <c r="AL404" i="79"/>
  <c r="AH404" i="79"/>
  <c r="AI973" i="79"/>
  <c r="Q28" i="44"/>
  <c r="M42" i="44"/>
  <c r="AI148" i="46"/>
  <c r="AJ406" i="46"/>
  <c r="AF406" i="46"/>
  <c r="AI35" i="79"/>
  <c r="AL218" i="79"/>
  <c r="AH218" i="79"/>
  <c r="AJ601" i="79"/>
  <c r="AF601" i="79"/>
  <c r="AI790" i="79"/>
  <c r="AL973" i="79"/>
  <c r="AH973" i="79"/>
  <c r="T14" i="47"/>
  <c r="P14" i="47"/>
  <c r="AF20" i="46"/>
  <c r="AL20" i="46"/>
  <c r="AL148" i="46"/>
  <c r="AH148" i="46"/>
  <c r="AJ277" i="46"/>
  <c r="AF277" i="46"/>
  <c r="AI406" i="46"/>
  <c r="AL35" i="79"/>
  <c r="AH35" i="79"/>
  <c r="AK218" i="79"/>
  <c r="AG218" i="79"/>
  <c r="AJ404" i="79"/>
  <c r="AF404" i="79"/>
  <c r="AI601" i="79"/>
  <c r="AL790" i="79"/>
  <c r="AH790" i="79"/>
  <c r="AK973" i="79"/>
  <c r="AG97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7" i="79"/>
  <c r="AK950" i="79"/>
  <c r="AK595" i="79"/>
  <c r="AK594" i="79"/>
  <c r="AK578" i="79"/>
  <c r="AK593" i="79"/>
  <c r="AK212" i="79"/>
  <c r="AK211" i="79"/>
  <c r="AK195" i="79"/>
  <c r="AK210" i="79"/>
  <c r="AK209" i="79"/>
  <c r="AK208" i="79"/>
  <c r="AK784" i="79"/>
  <c r="AK767" i="79"/>
  <c r="AK78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3" i="79"/>
  <c r="D950" i="79"/>
  <c r="D381" i="79"/>
  <c r="AL381" i="79" l="1"/>
  <c r="AL396" i="79"/>
  <c r="AL395" i="79"/>
  <c r="AL397" i="79"/>
  <c r="AL398" i="79"/>
  <c r="AL594" i="79"/>
  <c r="AL593" i="79"/>
  <c r="AL595" i="79"/>
  <c r="AL578" i="79"/>
  <c r="AL767" i="79"/>
  <c r="AL783" i="79"/>
  <c r="AL784" i="79"/>
  <c r="AL967" i="79"/>
  <c r="AL950" i="79"/>
  <c r="AL1133" i="79"/>
  <c r="AH967" i="79"/>
  <c r="AI967" i="79"/>
  <c r="AF967" i="79"/>
  <c r="AJ967" i="79"/>
  <c r="AG967" i="79"/>
  <c r="AF783" i="79"/>
  <c r="AJ783" i="79"/>
  <c r="AG784" i="79"/>
  <c r="AG783" i="79"/>
  <c r="AI784" i="79"/>
  <c r="AI783" i="79"/>
  <c r="AF784" i="79"/>
  <c r="AJ784" i="79"/>
  <c r="AH784" i="79"/>
  <c r="AH783" i="79"/>
  <c r="AH950" i="79"/>
  <c r="AJ950" i="79"/>
  <c r="AG950" i="79"/>
  <c r="AF950" i="79"/>
  <c r="AI950" i="79"/>
  <c r="AJ1133" i="79"/>
  <c r="AF1133" i="79"/>
  <c r="AG1133" i="79"/>
  <c r="AI1133" i="79"/>
  <c r="AH1133" i="79"/>
  <c r="AJ767" i="79"/>
  <c r="AF767" i="79"/>
  <c r="AG767" i="79"/>
  <c r="AI767" i="79"/>
  <c r="AH767" i="79"/>
  <c r="AH593" i="79"/>
  <c r="AI594" i="79"/>
  <c r="AF595" i="79"/>
  <c r="AJ595" i="79"/>
  <c r="AJ578" i="79"/>
  <c r="AF578" i="79"/>
  <c r="AJ594" i="79"/>
  <c r="AG595" i="79"/>
  <c r="AJ593" i="79"/>
  <c r="AG594" i="79"/>
  <c r="AH578" i="79"/>
  <c r="AG593" i="79"/>
  <c r="AH594" i="79"/>
  <c r="AI595" i="79"/>
  <c r="AG578" i="79"/>
  <c r="AI593" i="79"/>
  <c r="AF594" i="79"/>
  <c r="AI578" i="79"/>
  <c r="AF593" i="79"/>
  <c r="AH595"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67" i="79"/>
  <c r="Z784" i="79"/>
  <c r="D544" i="46" s="1"/>
  <c r="Z783" i="79"/>
  <c r="Z398" i="79"/>
  <c r="D542" i="46" s="1"/>
  <c r="Z594" i="79"/>
  <c r="Z595" i="79"/>
  <c r="D543" i="46" s="1"/>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D541" i="46" s="1"/>
  <c r="D545" i="46" s="1"/>
  <c r="Z211" i="79"/>
  <c r="Z210" i="79"/>
  <c r="Z209" i="79"/>
  <c r="Y209" i="79"/>
  <c r="Y210" i="79"/>
  <c r="Y211" i="79"/>
  <c r="Y212" i="79"/>
  <c r="C541" i="46" s="1"/>
  <c r="D513" i="46"/>
  <c r="O384" i="46"/>
  <c r="D384" i="46"/>
  <c r="Y401" i="46"/>
  <c r="C538" i="46" s="1"/>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90" i="79"/>
  <c r="Z218" i="79"/>
  <c r="Z973" i="79"/>
  <c r="Z601" i="79"/>
  <c r="Z35" i="79"/>
  <c r="D123" i="45"/>
  <c r="E14" i="44"/>
  <c r="E18" i="44" s="1"/>
  <c r="Z602" i="79"/>
  <c r="Z219" i="79"/>
  <c r="Z381" i="79" s="1"/>
  <c r="Z405" i="79"/>
  <c r="Z578" i="79" s="1"/>
  <c r="Z791" i="79"/>
  <c r="Z950" i="79" s="1"/>
  <c r="Z974" i="79"/>
  <c r="Z1133" i="79" s="1"/>
  <c r="Z36" i="79"/>
  <c r="Z195" i="79" s="1"/>
  <c r="AE406" i="46"/>
  <c r="J13" i="44"/>
  <c r="AE973" i="79"/>
  <c r="AE404" i="79"/>
  <c r="AE790" i="79"/>
  <c r="AE601" i="79"/>
  <c r="AE218" i="79"/>
  <c r="AE35" i="79"/>
  <c r="J43" i="44"/>
  <c r="J53" i="44" s="1"/>
  <c r="J14" i="44"/>
  <c r="J18" i="44" s="1"/>
  <c r="AE405" i="79"/>
  <c r="AE602" i="79"/>
  <c r="AE974" i="79"/>
  <c r="AE1133" i="79" s="1"/>
  <c r="AE791" i="79"/>
  <c r="AE219" i="79"/>
  <c r="AE36" i="79"/>
  <c r="Y277" i="46"/>
  <c r="D13" i="44"/>
  <c r="Y790" i="79"/>
  <c r="Y601" i="79"/>
  <c r="Y218" i="79"/>
  <c r="Y973" i="79"/>
  <c r="Y404" i="79"/>
  <c r="Y35" i="79"/>
  <c r="AC148" i="46"/>
  <c r="H13" i="44"/>
  <c r="AC790" i="79"/>
  <c r="AC973" i="79"/>
  <c r="AC404" i="79"/>
  <c r="AC601" i="79"/>
  <c r="AC218" i="79"/>
  <c r="AC35" i="79"/>
  <c r="Y407" i="46"/>
  <c r="Y513" i="46" s="1"/>
  <c r="D14" i="44"/>
  <c r="D18" i="44" s="1"/>
  <c r="Y974" i="79"/>
  <c r="Y1133" i="79" s="1"/>
  <c r="Y405" i="79"/>
  <c r="Y578" i="79" s="1"/>
  <c r="Y791" i="79"/>
  <c r="Y950" i="79" s="1"/>
  <c r="Y602" i="79"/>
  <c r="Y219" i="79"/>
  <c r="Y381" i="79" s="1"/>
  <c r="Y36" i="79"/>
  <c r="Y195" i="79" s="1"/>
  <c r="AC278" i="46"/>
  <c r="AC395" i="46" s="1"/>
  <c r="H14" i="44"/>
  <c r="H18" i="44" s="1"/>
  <c r="AC791" i="79"/>
  <c r="AC967" i="79" s="1"/>
  <c r="AC602" i="79"/>
  <c r="AC219" i="79"/>
  <c r="AC974" i="79"/>
  <c r="AC1133" i="79" s="1"/>
  <c r="AC405" i="79"/>
  <c r="AC36" i="79"/>
  <c r="AD148" i="46"/>
  <c r="I13" i="44"/>
  <c r="AD404" i="79"/>
  <c r="AD601" i="79"/>
  <c r="AD973" i="79"/>
  <c r="AD790" i="79"/>
  <c r="AD218" i="79"/>
  <c r="AD35" i="79"/>
  <c r="H123" i="45"/>
  <c r="I14" i="44"/>
  <c r="I18" i="44" s="1"/>
  <c r="AD791" i="79"/>
  <c r="AD967" i="79" s="1"/>
  <c r="AD974" i="79"/>
  <c r="AD1133" i="79" s="1"/>
  <c r="AD405" i="79"/>
  <c r="AD593" i="79" s="1"/>
  <c r="AD602" i="79"/>
  <c r="AD219" i="79"/>
  <c r="AD395" i="79" s="1"/>
  <c r="AD36" i="79"/>
  <c r="AA406" i="46"/>
  <c r="F13" i="44"/>
  <c r="AA973" i="79"/>
  <c r="AA790" i="79"/>
  <c r="AA601" i="79"/>
  <c r="AA218" i="79"/>
  <c r="AA404" i="79"/>
  <c r="AA35" i="79"/>
  <c r="F43" i="44"/>
  <c r="F14" i="44"/>
  <c r="F18" i="44" s="1"/>
  <c r="AA405" i="79"/>
  <c r="AA791" i="79"/>
  <c r="AA219" i="79"/>
  <c r="AA974" i="79"/>
  <c r="AA1133" i="79" s="1"/>
  <c r="AA602" i="79"/>
  <c r="AA36" i="79"/>
  <c r="AA208" i="79" s="1"/>
  <c r="AB406" i="46"/>
  <c r="G13" i="44"/>
  <c r="AB790" i="79"/>
  <c r="AB601" i="79"/>
  <c r="AB218" i="79"/>
  <c r="AB973" i="79"/>
  <c r="AB35" i="79"/>
  <c r="AB407" i="46"/>
  <c r="G14" i="44"/>
  <c r="G18" i="44" s="1"/>
  <c r="AB974" i="79"/>
  <c r="AB1133" i="79" s="1"/>
  <c r="AB791" i="79"/>
  <c r="AB602" i="79"/>
  <c r="AB219" i="79"/>
  <c r="AB405" i="79"/>
  <c r="AB578"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593" i="79" l="1"/>
  <c r="AA578" i="79"/>
  <c r="H53" i="44"/>
  <c r="H50" i="44"/>
  <c r="F53" i="44"/>
  <c r="F50" i="44"/>
  <c r="E53" i="44"/>
  <c r="E50" i="44"/>
  <c r="I53" i="44"/>
  <c r="I50" i="44"/>
  <c r="AB593" i="79"/>
  <c r="G53" i="44"/>
  <c r="G50" i="44"/>
  <c r="AC595" i="79"/>
  <c r="AC593" i="79"/>
  <c r="AC594"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B783" i="79"/>
  <c r="AB784" i="79"/>
  <c r="AB767" i="79"/>
  <c r="AD594" i="79"/>
  <c r="AD578" i="79"/>
  <c r="AD595" i="79"/>
  <c r="AC395" i="79"/>
  <c r="AC397" i="79"/>
  <c r="AC381" i="79"/>
  <c r="AC396" i="79"/>
  <c r="AC398" i="79"/>
  <c r="AB594" i="79"/>
  <c r="AB595" i="79"/>
  <c r="AA783" i="79"/>
  <c r="AA784" i="79"/>
  <c r="E544" i="46" s="1"/>
  <c r="AA595" i="79"/>
  <c r="E543" i="46" s="1"/>
  <c r="AA594" i="79"/>
  <c r="AD396" i="79"/>
  <c r="AD398" i="79"/>
  <c r="AD397" i="79"/>
  <c r="AD381" i="79"/>
  <c r="AD950" i="79"/>
  <c r="AC578" i="79"/>
  <c r="AC950" i="79"/>
  <c r="AE395" i="79"/>
  <c r="AE381" i="79"/>
  <c r="AE397" i="79"/>
  <c r="AE396" i="79"/>
  <c r="AE398" i="79"/>
  <c r="AE578" i="79"/>
  <c r="AE595" i="79"/>
  <c r="AE594" i="79"/>
  <c r="AE593" i="79"/>
  <c r="AD784" i="79"/>
  <c r="AD767" i="79"/>
  <c r="AD783" i="79"/>
  <c r="AE967" i="79"/>
  <c r="AE950" i="79"/>
  <c r="AA398" i="79"/>
  <c r="E542" i="46" s="1"/>
  <c r="AA381" i="79"/>
  <c r="AA397" i="79"/>
  <c r="AA395" i="79"/>
  <c r="AA396" i="79"/>
  <c r="AB211" i="79"/>
  <c r="AB195" i="79"/>
  <c r="AB212" i="79"/>
  <c r="AB208" i="79"/>
  <c r="AB210" i="79"/>
  <c r="AB209" i="79"/>
  <c r="AB950" i="79"/>
  <c r="AB967" i="79"/>
  <c r="AA210" i="79"/>
  <c r="AA195" i="79"/>
  <c r="AA209" i="79"/>
  <c r="AA211" i="79"/>
  <c r="AA212" i="79"/>
  <c r="E541" i="46" s="1"/>
  <c r="AA950" i="79"/>
  <c r="AA967" i="79"/>
  <c r="AD195" i="79"/>
  <c r="AC209" i="79"/>
  <c r="AC212" i="79"/>
  <c r="AC208" i="79"/>
  <c r="AC210" i="79"/>
  <c r="AC195" i="79"/>
  <c r="AC211" i="79"/>
  <c r="AC784" i="79"/>
  <c r="AC767" i="79"/>
  <c r="AC783" i="79"/>
  <c r="AE211" i="79"/>
  <c r="AE195" i="79"/>
  <c r="AE208" i="79"/>
  <c r="AE209" i="79"/>
  <c r="AE210" i="79"/>
  <c r="AE212" i="79"/>
  <c r="AE783" i="79"/>
  <c r="AE784" i="79"/>
  <c r="AE767" i="79"/>
  <c r="AD513" i="46"/>
  <c r="AD529" i="46"/>
  <c r="AD528" i="46"/>
  <c r="AD527" i="46"/>
  <c r="AD530" i="46"/>
  <c r="AD526" i="46"/>
  <c r="AD531" i="46"/>
  <c r="AA513" i="46"/>
  <c r="AA530" i="46"/>
  <c r="AA526" i="46"/>
  <c r="AA531" i="46"/>
  <c r="E537" i="46" s="1"/>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E538" i="46" s="1"/>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E539" i="46" s="1"/>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C540" i="46" s="1"/>
  <c r="C545" i="46" s="1"/>
  <c r="AC138" i="46"/>
  <c r="AI139" i="46"/>
  <c r="AE141" i="46"/>
  <c r="AA143" i="46"/>
  <c r="E540" i="46" s="1"/>
  <c r="E545" i="46" s="1"/>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0" i="79" s="1"/>
  <c r="L129" i="45"/>
  <c r="AF516" i="46"/>
  <c r="J127" i="45"/>
  <c r="H130" i="45"/>
  <c r="C133" i="45"/>
  <c r="Y1136" i="79" s="1"/>
  <c r="N130" i="45"/>
  <c r="AG258" i="46"/>
  <c r="AG259" i="46" s="1"/>
  <c r="K125" i="45"/>
  <c r="K128" i="45"/>
  <c r="AJ516" i="46"/>
  <c r="AJ520" i="46" s="1"/>
  <c r="N127" i="45"/>
  <c r="K126" i="45"/>
  <c r="AG387" i="46" s="1"/>
  <c r="G129" i="45"/>
  <c r="E129" i="45"/>
  <c r="AA384"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68" i="79"/>
  <c r="AG768" i="79"/>
  <c r="AG382" i="79"/>
  <c r="AK951" i="79"/>
  <c r="AF768" i="79"/>
  <c r="AH579" i="79"/>
  <c r="AL196" i="79"/>
  <c r="AG514" i="46"/>
  <c r="AI951" i="79"/>
  <c r="AJ951" i="79"/>
  <c r="AF382" i="79"/>
  <c r="AL579" i="79"/>
  <c r="AF951" i="79"/>
  <c r="AJ382" i="79"/>
  <c r="AH1134" i="79"/>
  <c r="AI1134" i="79"/>
  <c r="AK514" i="46"/>
  <c r="AI196" i="79"/>
  <c r="AK382" i="79"/>
  <c r="AF514" i="46"/>
  <c r="AF579" i="79"/>
  <c r="AL382" i="79"/>
  <c r="AL768" i="79"/>
  <c r="AJ579" i="79"/>
  <c r="AJ514" i="46"/>
  <c r="AK196" i="79"/>
  <c r="AG196" i="79"/>
  <c r="AG1134" i="79"/>
  <c r="AG579" i="79"/>
  <c r="AH514" i="46"/>
  <c r="AK1134" i="79"/>
  <c r="AH196" i="79"/>
  <c r="AH951" i="79"/>
  <c r="AJ1134" i="79"/>
  <c r="AF196" i="79"/>
  <c r="AF1134" i="79"/>
  <c r="AL951" i="79"/>
  <c r="AI382" i="79"/>
  <c r="AL514" i="46"/>
  <c r="AK768" i="79"/>
  <c r="AH382" i="79"/>
  <c r="AJ196" i="79"/>
  <c r="AL1134" i="79"/>
  <c r="AH768" i="79"/>
  <c r="AI514" i="46"/>
  <c r="AK579" i="79"/>
  <c r="AI579" i="79"/>
  <c r="AI768" i="79"/>
  <c r="AG951" i="79"/>
  <c r="Y514" i="46"/>
  <c r="AB514" i="46"/>
  <c r="AE1134" i="79"/>
  <c r="AD382" i="79"/>
  <c r="AC579" i="79"/>
  <c r="Y1134" i="79"/>
  <c r="Y579" i="79"/>
  <c r="AC514" i="46"/>
  <c r="AB951" i="79"/>
  <c r="AA1134" i="79"/>
  <c r="AD196" i="79"/>
  <c r="Y196" i="79"/>
  <c r="AE768" i="79"/>
  <c r="AA514" i="46"/>
  <c r="AE514" i="46"/>
  <c r="AC382" i="79"/>
  <c r="AB768" i="79"/>
  <c r="AC1134" i="79"/>
  <c r="AE382" i="79"/>
  <c r="Z951" i="79"/>
  <c r="AD514" i="46"/>
  <c r="AA579" i="79"/>
  <c r="AD1134" i="79"/>
  <c r="AE951" i="79"/>
  <c r="AB382" i="79"/>
  <c r="AB1134" i="79"/>
  <c r="AA768" i="79"/>
  <c r="AD579" i="79"/>
  <c r="Y768" i="79"/>
  <c r="AE579" i="79"/>
  <c r="Z768" i="79"/>
  <c r="Z514" i="46"/>
  <c r="AC951" i="79"/>
  <c r="AB579" i="79"/>
  <c r="Y382" i="79"/>
  <c r="Z382" i="79"/>
  <c r="AA196" i="79"/>
  <c r="AD951" i="79"/>
  <c r="AC196" i="79"/>
  <c r="Y951" i="79"/>
  <c r="AE196" i="79"/>
  <c r="AD768" i="79"/>
  <c r="AA382" i="79"/>
  <c r="AA951" i="79"/>
  <c r="AB196" i="79"/>
  <c r="AC768" i="79"/>
  <c r="Z579" i="79"/>
  <c r="Z196" i="79"/>
  <c r="Z113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A388" i="79"/>
  <c r="AA387" i="79"/>
  <c r="Y202" i="79"/>
  <c r="Y201" i="79"/>
  <c r="Y778" i="79"/>
  <c r="Y774" i="79"/>
  <c r="Y773" i="79"/>
  <c r="AK581" i="79"/>
  <c r="AK590" i="79" s="1"/>
  <c r="P73" i="43" s="1"/>
  <c r="Y522" i="46"/>
  <c r="AD522" i="46"/>
  <c r="I64" i="43" s="1"/>
  <c r="Y1140" i="79"/>
  <c r="Y1146" i="79"/>
  <c r="AI517" i="46"/>
  <c r="AI520" i="46"/>
  <c r="AF518" i="46"/>
  <c r="AF520" i="46"/>
  <c r="Y518" i="46"/>
  <c r="Y517" i="46"/>
  <c r="Y519" i="46"/>
  <c r="Y520" i="46"/>
  <c r="AA522" i="46"/>
  <c r="AH518" i="46"/>
  <c r="AH520" i="46"/>
  <c r="AJ581" i="79"/>
  <c r="AA198" i="79"/>
  <c r="AB198" i="79"/>
  <c r="AJ384" i="79"/>
  <c r="AJ387" i="79" s="1"/>
  <c r="AH581" i="79"/>
  <c r="AH585" i="79" s="1"/>
  <c r="AL384" i="79"/>
  <c r="AL390" i="79" s="1"/>
  <c r="AC198" i="79"/>
  <c r="AC201" i="79" s="1"/>
  <c r="AK384" i="79"/>
  <c r="AK388" i="79" s="1"/>
  <c r="AF384" i="79"/>
  <c r="AF387" i="79" s="1"/>
  <c r="AI581" i="79"/>
  <c r="AI590" i="79" s="1"/>
  <c r="N73" i="43" s="1"/>
  <c r="AL581" i="79"/>
  <c r="AL585" i="79" s="1"/>
  <c r="AE581" i="79"/>
  <c r="AE584" i="79" s="1"/>
  <c r="AG581" i="79"/>
  <c r="AG584" i="79" s="1"/>
  <c r="AG384" i="79"/>
  <c r="AG392" i="79" s="1"/>
  <c r="L70" i="43" s="1"/>
  <c r="AD384" i="79"/>
  <c r="AD388" i="79" s="1"/>
  <c r="AB581" i="79"/>
  <c r="Z198" i="79"/>
  <c r="AB384" i="79"/>
  <c r="AB387" i="79" s="1"/>
  <c r="Z384" i="79"/>
  <c r="AC384" i="79"/>
  <c r="AC388" i="79" s="1"/>
  <c r="AD953" i="79"/>
  <c r="AH953" i="79"/>
  <c r="AH964" i="79" s="1"/>
  <c r="M79" i="43" s="1"/>
  <c r="AJ953" i="79"/>
  <c r="AJ964" i="79" s="1"/>
  <c r="O79" i="43" s="1"/>
  <c r="AI953" i="79"/>
  <c r="AI964" i="79" s="1"/>
  <c r="N79" i="43" s="1"/>
  <c r="Z953" i="79"/>
  <c r="Z964" i="79" s="1"/>
  <c r="E79" i="43" s="1"/>
  <c r="AK953" i="79"/>
  <c r="AK964" i="79" s="1"/>
  <c r="P79" i="43" s="1"/>
  <c r="AL953" i="79"/>
  <c r="AE953" i="79"/>
  <c r="AE964" i="79" s="1"/>
  <c r="J79" i="43" s="1"/>
  <c r="AF953" i="79"/>
  <c r="AC953" i="79"/>
  <c r="AC964" i="79" s="1"/>
  <c r="H79" i="43" s="1"/>
  <c r="AA953" i="79"/>
  <c r="AA964" i="79" s="1"/>
  <c r="F79" i="43" s="1"/>
  <c r="AB953" i="79"/>
  <c r="AB964" i="79" s="1"/>
  <c r="G79" i="43" s="1"/>
  <c r="AG953" i="79"/>
  <c r="AG964" i="79" s="1"/>
  <c r="L79" i="43" s="1"/>
  <c r="Y1143" i="79"/>
  <c r="Z581" i="79"/>
  <c r="Y953" i="79"/>
  <c r="Y955" i="79" s="1"/>
  <c r="AA581" i="79"/>
  <c r="Y581" i="79"/>
  <c r="AJ1136" i="79"/>
  <c r="AJ1148" i="79" s="1"/>
  <c r="O82" i="43" s="1"/>
  <c r="AI1136" i="79"/>
  <c r="AL1136" i="79"/>
  <c r="AL1148" i="79" s="1"/>
  <c r="Q82" i="43" s="1"/>
  <c r="AG1136" i="79"/>
  <c r="AK1136" i="79"/>
  <c r="AK1148" i="79" s="1"/>
  <c r="P82" i="43" s="1"/>
  <c r="AH1136" i="79"/>
  <c r="AH1148" i="79" s="1"/>
  <c r="M82" i="43" s="1"/>
  <c r="AF1136" i="79"/>
  <c r="AC1136" i="79"/>
  <c r="AC1148" i="79" s="1"/>
  <c r="H82" i="43" s="1"/>
  <c r="AE1136" i="79"/>
  <c r="AE1148" i="79" s="1"/>
  <c r="J82" i="43" s="1"/>
  <c r="AB1136" i="79"/>
  <c r="AB1148" i="79" s="1"/>
  <c r="G82" i="43" s="1"/>
  <c r="AD1136" i="79"/>
  <c r="AD1148" i="79" s="1"/>
  <c r="I82" i="43" s="1"/>
  <c r="Z1136" i="79"/>
  <c r="Z1146" i="79" s="1"/>
  <c r="AA1136" i="79"/>
  <c r="AC581" i="79"/>
  <c r="AC587" i="79" s="1"/>
  <c r="AD198" i="79"/>
  <c r="AD201" i="79" s="1"/>
  <c r="AE384" i="79"/>
  <c r="AE387" i="79" s="1"/>
  <c r="AD581" i="79"/>
  <c r="AL770" i="79"/>
  <c r="AL780" i="79" s="1"/>
  <c r="Q76" i="43" s="1"/>
  <c r="AE770" i="79"/>
  <c r="AE780" i="79" s="1"/>
  <c r="J76" i="43" s="1"/>
  <c r="AI770" i="79"/>
  <c r="AG770" i="79"/>
  <c r="AF770" i="79"/>
  <c r="AF780" i="79" s="1"/>
  <c r="K76" i="43" s="1"/>
  <c r="Z770" i="79"/>
  <c r="AD770" i="79"/>
  <c r="AC770" i="79"/>
  <c r="AC780" i="79" s="1"/>
  <c r="H76" i="43" s="1"/>
  <c r="AJ770" i="79"/>
  <c r="AJ780" i="79" s="1"/>
  <c r="O76" i="43" s="1"/>
  <c r="AH770" i="79"/>
  <c r="AH780" i="79" s="1"/>
  <c r="M76" i="43" s="1"/>
  <c r="AA770" i="79"/>
  <c r="AB770" i="79"/>
  <c r="AB780" i="79" s="1"/>
  <c r="G76" i="43" s="1"/>
  <c r="AK770" i="79"/>
  <c r="AE200" i="79"/>
  <c r="AH132" i="46"/>
  <c r="M55" i="43" s="1"/>
  <c r="AG198" i="79"/>
  <c r="AG202" i="79" s="1"/>
  <c r="AF581" i="79"/>
  <c r="AF585" i="79" s="1"/>
  <c r="Y384" i="79"/>
  <c r="AF198" i="79"/>
  <c r="AF201" i="79" s="1"/>
  <c r="AH384" i="79"/>
  <c r="AH392" i="79" s="1"/>
  <c r="M70" i="43" s="1"/>
  <c r="AH519" i="46"/>
  <c r="AG262" i="46"/>
  <c r="L58" i="43" s="1"/>
  <c r="AI518" i="46"/>
  <c r="AH517" i="46"/>
  <c r="AG260" i="46"/>
  <c r="AG261" i="46" s="1"/>
  <c r="L57" i="43" s="1"/>
  <c r="AI519" i="46"/>
  <c r="AI522" i="46"/>
  <c r="N64" i="43" s="1"/>
  <c r="AH522" i="46"/>
  <c r="M64" i="43" s="1"/>
  <c r="Y1141" i="79"/>
  <c r="AG389" i="46"/>
  <c r="AG390" i="46"/>
  <c r="AG388" i="46"/>
  <c r="Y1138" i="79"/>
  <c r="AI198" i="79"/>
  <c r="AI199" i="79" s="1"/>
  <c r="AJ198" i="79"/>
  <c r="AJ203" i="79" s="1"/>
  <c r="AK198" i="79"/>
  <c r="AK201" i="79" s="1"/>
  <c r="AL198" i="79"/>
  <c r="AL203" i="79" s="1"/>
  <c r="AH198" i="79"/>
  <c r="AH205" i="79" s="1"/>
  <c r="M67" i="43" s="1"/>
  <c r="AA389" i="79"/>
  <c r="AA390" i="79"/>
  <c r="AF132" i="46"/>
  <c r="K55" i="43" s="1"/>
  <c r="AJ522" i="46"/>
  <c r="O64" i="43" s="1"/>
  <c r="Y777" i="79"/>
  <c r="Y776" i="79"/>
  <c r="Y775" i="79"/>
  <c r="AF260" i="46"/>
  <c r="AF259" i="46"/>
  <c r="AJ517" i="46"/>
  <c r="AJ519" i="46"/>
  <c r="AJ518" i="46"/>
  <c r="Y1144" i="79"/>
  <c r="Y1142" i="79"/>
  <c r="Y1137" i="79"/>
  <c r="Y1139" i="79"/>
  <c r="Y1145" i="79"/>
  <c r="AF389" i="46"/>
  <c r="AF390" i="46"/>
  <c r="AF388" i="46"/>
  <c r="AH260" i="46"/>
  <c r="AH259" i="46"/>
  <c r="AG519" i="46"/>
  <c r="AG517" i="46"/>
  <c r="AG518" i="46"/>
  <c r="AF262" i="46"/>
  <c r="K58" i="43" s="1"/>
  <c r="Y1148" i="79"/>
  <c r="AF517" i="46"/>
  <c r="AK387" i="46"/>
  <c r="AK389" i="46" s="1"/>
  <c r="AH262" i="46"/>
  <c r="M58" i="43" s="1"/>
  <c r="AH387" i="46"/>
  <c r="AH392" i="46" s="1"/>
  <c r="M61" i="43" s="1"/>
  <c r="AG132" i="46"/>
  <c r="L55" i="43" s="1"/>
  <c r="AA392" i="79"/>
  <c r="AF522" i="46"/>
  <c r="K64" i="43" s="1"/>
  <c r="AF519" i="46"/>
  <c r="AI384" i="79"/>
  <c r="AI386" i="79" s="1"/>
  <c r="AG522" i="46"/>
  <c r="L64" i="43" s="1"/>
  <c r="Y780" i="79"/>
  <c r="AJ390" i="46"/>
  <c r="AI390" i="46"/>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AB392" i="46"/>
  <c r="G61" i="43" s="1"/>
  <c r="AB262" i="46"/>
  <c r="G58" i="43" s="1"/>
  <c r="AA260" i="46"/>
  <c r="AA261" i="46" s="1"/>
  <c r="AA262" i="46"/>
  <c r="Y262" i="46"/>
  <c r="AF392" i="46"/>
  <c r="K61" i="43" s="1"/>
  <c r="AG392" i="46"/>
  <c r="L61" i="43" s="1"/>
  <c r="AJ392" i="46"/>
  <c r="O61" i="43" s="1"/>
  <c r="AI392" i="46"/>
  <c r="N61" i="43" s="1"/>
  <c r="AL392" i="46"/>
  <c r="Q61" i="43" s="1"/>
  <c r="AD132" i="46"/>
  <c r="I55" i="43" s="1"/>
  <c r="AA132" i="46"/>
  <c r="AB132" i="46"/>
  <c r="G55" i="43" s="1"/>
  <c r="AC132" i="46"/>
  <c r="H55" i="43" s="1"/>
  <c r="AE132" i="46"/>
  <c r="J55" i="43" s="1"/>
  <c r="AE205" i="79"/>
  <c r="J67" i="43" s="1"/>
  <c r="AE392" i="46"/>
  <c r="J61" i="43" s="1"/>
  <c r="AE390" i="46"/>
  <c r="AE388" i="46"/>
  <c r="Y132" i="46"/>
  <c r="Y131" i="46"/>
  <c r="Y392" i="46"/>
  <c r="Y390" i="46"/>
  <c r="Y203" i="79"/>
  <c r="Z262" i="46"/>
  <c r="Z260" i="46"/>
  <c r="Z259" i="46"/>
  <c r="Z392" i="46"/>
  <c r="Z390" i="46"/>
  <c r="Z388" i="46"/>
  <c r="AC131" i="46"/>
  <c r="H54" i="43" s="1"/>
  <c r="AA131" i="46"/>
  <c r="AB131" i="46"/>
  <c r="G54" i="43" s="1"/>
  <c r="Z131" i="46"/>
  <c r="Z132" i="46"/>
  <c r="I54" i="43"/>
  <c r="AE203" i="79" l="1"/>
  <c r="AK587" i="79"/>
  <c r="AE199" i="79"/>
  <c r="AE201" i="79"/>
  <c r="AK584" i="79"/>
  <c r="AK583" i="79"/>
  <c r="Z780" i="79"/>
  <c r="E76" i="43" s="1"/>
  <c r="Z773" i="79"/>
  <c r="Z774" i="79"/>
  <c r="AK585" i="79"/>
  <c r="Y590" i="79"/>
  <c r="D73" i="43" s="1"/>
  <c r="Y585" i="79"/>
  <c r="Y584" i="79"/>
  <c r="AA588" i="79"/>
  <c r="AA585" i="79"/>
  <c r="AA584" i="79"/>
  <c r="Z201" i="79"/>
  <c r="Z202" i="79"/>
  <c r="AK582" i="79"/>
  <c r="Y392" i="79"/>
  <c r="Y388" i="79"/>
  <c r="Y387" i="79"/>
  <c r="AA780" i="79"/>
  <c r="F76" i="43" s="1"/>
  <c r="AA773" i="79"/>
  <c r="AA774" i="79"/>
  <c r="AK588" i="79"/>
  <c r="Z585" i="79"/>
  <c r="Z584" i="79"/>
  <c r="Z387" i="79"/>
  <c r="Z388" i="79"/>
  <c r="AK586" i="79"/>
  <c r="AA201" i="79"/>
  <c r="AA202" i="79"/>
  <c r="Y779" i="79"/>
  <c r="D75" i="43" s="1"/>
  <c r="T18" i="47"/>
  <c r="P20" i="47"/>
  <c r="Q15" i="47"/>
  <c r="S23" i="47"/>
  <c r="U17" i="47"/>
  <c r="R26" i="47"/>
  <c r="AB587" i="79"/>
  <c r="AB586" i="79"/>
  <c r="AB201" i="79"/>
  <c r="AB202" i="79"/>
  <c r="AA203" i="79"/>
  <c r="AD586" i="79"/>
  <c r="AD590" i="79"/>
  <c r="I73" i="43" s="1"/>
  <c r="Z203" i="79"/>
  <c r="AJ587" i="79"/>
  <c r="AJ590" i="79"/>
  <c r="O73" i="43" s="1"/>
  <c r="AM522" i="46"/>
  <c r="F104" i="43" s="1"/>
  <c r="Y587" i="79"/>
  <c r="Y588" i="79"/>
  <c r="Z587" i="79"/>
  <c r="Y521" i="46"/>
  <c r="V21" i="47"/>
  <c r="AM259" i="46"/>
  <c r="Z1148" i="79"/>
  <c r="E82" i="43" s="1"/>
  <c r="AM131" i="46"/>
  <c r="C93" i="43" s="1"/>
  <c r="AM262" i="46"/>
  <c r="D104" i="43" s="1"/>
  <c r="AM518" i="46"/>
  <c r="D76" i="43"/>
  <c r="AM132" i="46"/>
  <c r="C104" i="43" s="1"/>
  <c r="AM520" i="46"/>
  <c r="AM260" i="46"/>
  <c r="AM519" i="46"/>
  <c r="AM517" i="46"/>
  <c r="AD585" i="79"/>
  <c r="AH586" i="79"/>
  <c r="AL586" i="79"/>
  <c r="AD582" i="79"/>
  <c r="AI586" i="79"/>
  <c r="R18" i="47"/>
  <c r="R17" i="47"/>
  <c r="R20" i="47"/>
  <c r="R21" i="47"/>
  <c r="R16" i="47"/>
  <c r="AE392" i="79"/>
  <c r="J70" i="43" s="1"/>
  <c r="R22" i="47"/>
  <c r="AB200" i="79"/>
  <c r="AD386" i="79"/>
  <c r="AC202" i="79"/>
  <c r="AG587" i="79"/>
  <c r="AG586" i="79"/>
  <c r="AH582" i="79"/>
  <c r="AL583" i="79"/>
  <c r="AC205" i="79"/>
  <c r="H67" i="43" s="1"/>
  <c r="Z389" i="79"/>
  <c r="AC200" i="79"/>
  <c r="AD385" i="79"/>
  <c r="AB203" i="79"/>
  <c r="AD387" i="79"/>
  <c r="AL590" i="79"/>
  <c r="Q73" i="43" s="1"/>
  <c r="AL582" i="79"/>
  <c r="AB205" i="79"/>
  <c r="G67" i="43" s="1"/>
  <c r="AD392" i="79"/>
  <c r="I70" i="43" s="1"/>
  <c r="AL584" i="79"/>
  <c r="Z390" i="79"/>
  <c r="AB199" i="79"/>
  <c r="AB388" i="79"/>
  <c r="AK203" i="79"/>
  <c r="AA205" i="79"/>
  <c r="AE388" i="79"/>
  <c r="AB390" i="79"/>
  <c r="AB389" i="79"/>
  <c r="AB392" i="79"/>
  <c r="G70" i="43" s="1"/>
  <c r="AI584" i="79"/>
  <c r="AI587" i="79"/>
  <c r="AK202" i="79"/>
  <c r="AI583" i="79"/>
  <c r="R19" i="47"/>
  <c r="R24" i="47"/>
  <c r="R25" i="47"/>
  <c r="R23" i="47"/>
  <c r="R15" i="47"/>
  <c r="AG590" i="79"/>
  <c r="L73" i="43" s="1"/>
  <c r="AB386" i="79"/>
  <c r="AG588" i="79"/>
  <c r="AI582" i="79"/>
  <c r="AH583" i="79"/>
  <c r="AB385" i="79"/>
  <c r="AG583" i="79"/>
  <c r="AH590" i="79"/>
  <c r="M73" i="43" s="1"/>
  <c r="AA590" i="79"/>
  <c r="F73" i="43" s="1"/>
  <c r="AA587" i="79"/>
  <c r="AG582" i="79"/>
  <c r="AA586" i="79"/>
  <c r="AG585" i="79"/>
  <c r="AD389" i="79"/>
  <c r="AG200" i="79"/>
  <c r="AK390" i="46"/>
  <c r="AB584" i="79"/>
  <c r="AJ385" i="79"/>
  <c r="AL201" i="79"/>
  <c r="AK392" i="79"/>
  <c r="P70" i="43" s="1"/>
  <c r="AG386" i="79"/>
  <c r="AL202" i="79"/>
  <c r="AK386" i="79"/>
  <c r="AL389" i="79"/>
  <c r="AG387" i="79"/>
  <c r="AE583" i="79"/>
  <c r="AK385" i="79"/>
  <c r="Y958" i="79"/>
  <c r="AL387" i="79"/>
  <c r="AB588" i="79"/>
  <c r="AH389" i="79"/>
  <c r="AI385" i="79"/>
  <c r="AH390" i="79"/>
  <c r="AG205" i="79"/>
  <c r="L67" i="43" s="1"/>
  <c r="AD200" i="79"/>
  <c r="AH385" i="79"/>
  <c r="AG390" i="79"/>
  <c r="Y389" i="79"/>
  <c r="AK390" i="79"/>
  <c r="AL392" i="79"/>
  <c r="Q70" i="43" s="1"/>
  <c r="AJ390" i="79"/>
  <c r="AF590" i="79"/>
  <c r="K73" i="43" s="1"/>
  <c r="AG389" i="79"/>
  <c r="AL388" i="79"/>
  <c r="AJ386" i="79"/>
  <c r="AB590" i="79"/>
  <c r="G73" i="43" s="1"/>
  <c r="AG199" i="79"/>
  <c r="AC585" i="79"/>
  <c r="AF389" i="79"/>
  <c r="Y964" i="79"/>
  <c r="Q19" i="47"/>
  <c r="AC583" i="79"/>
  <c r="Q24" i="47"/>
  <c r="AD205" i="79"/>
  <c r="I67" i="43" s="1"/>
  <c r="AD203" i="79"/>
  <c r="AG203" i="79"/>
  <c r="Y960" i="79"/>
  <c r="AI521" i="46"/>
  <c r="N63" i="43" s="1"/>
  <c r="AG201" i="79"/>
  <c r="AH521" i="46"/>
  <c r="M63" i="43" s="1"/>
  <c r="Q26" i="47"/>
  <c r="AK205" i="79"/>
  <c r="P67" i="43" s="1"/>
  <c r="AF200" i="79"/>
  <c r="Y956" i="79"/>
  <c r="AJ588" i="79"/>
  <c r="AF386" i="79"/>
  <c r="AK387" i="79"/>
  <c r="AL386" i="79"/>
  <c r="AG388" i="79"/>
  <c r="AC584" i="79"/>
  <c r="AJ583" i="79"/>
  <c r="AF390" i="79"/>
  <c r="AH388" i="79"/>
  <c r="AF586" i="79"/>
  <c r="AJ584" i="79"/>
  <c r="AJ585" i="79"/>
  <c r="AF588" i="79"/>
  <c r="AK389" i="79"/>
  <c r="AJ389" i="79"/>
  <c r="AG385" i="79"/>
  <c r="AH387" i="79"/>
  <c r="AB585" i="79"/>
  <c r="AH386" i="79"/>
  <c r="AF587" i="79"/>
  <c r="AF583" i="79"/>
  <c r="AL385" i="79"/>
  <c r="AJ392" i="79"/>
  <c r="O70" i="43" s="1"/>
  <c r="AJ582" i="79"/>
  <c r="AF582" i="79"/>
  <c r="Y954" i="79"/>
  <c r="AJ388" i="79"/>
  <c r="AJ586" i="79"/>
  <c r="AF584" i="79"/>
  <c r="AD587" i="79"/>
  <c r="Y961" i="79"/>
  <c r="AC386" i="79"/>
  <c r="AE582" i="79"/>
  <c r="AF202" i="79"/>
  <c r="Q31" i="47"/>
  <c r="AE590" i="79"/>
  <c r="J73" i="43" s="1"/>
  <c r="Q17" i="47"/>
  <c r="AK200" i="79"/>
  <c r="AL588" i="79"/>
  <c r="Z392" i="79"/>
  <c r="AC582" i="79"/>
  <c r="AC199" i="79"/>
  <c r="AC390" i="79"/>
  <c r="AF385" i="79"/>
  <c r="AE587" i="79"/>
  <c r="AD583" i="79"/>
  <c r="AC392" i="79"/>
  <c r="H70" i="43" s="1"/>
  <c r="AI588" i="79"/>
  <c r="AI585" i="79"/>
  <c r="AC389" i="79"/>
  <c r="Z205" i="79"/>
  <c r="Q21" i="47"/>
  <c r="AL587" i="79"/>
  <c r="AC590" i="79"/>
  <c r="H73" i="43" s="1"/>
  <c r="AC203" i="79"/>
  <c r="AC385" i="79"/>
  <c r="AF388" i="79"/>
  <c r="AD584" i="79"/>
  <c r="Y962" i="79"/>
  <c r="AK199" i="79"/>
  <c r="AF392" i="79"/>
  <c r="K70" i="43" s="1"/>
  <c r="AG521" i="46"/>
  <c r="L63" i="43" s="1"/>
  <c r="AF261" i="46"/>
  <c r="K57" i="43" s="1"/>
  <c r="AC586" i="79"/>
  <c r="AE588" i="79"/>
  <c r="AD390" i="79"/>
  <c r="AC387" i="79"/>
  <c r="AE585" i="79"/>
  <c r="AC588" i="79"/>
  <c r="AE586" i="79"/>
  <c r="AD588" i="79"/>
  <c r="AH588" i="79"/>
  <c r="AH587" i="79"/>
  <c r="AH584" i="79"/>
  <c r="AA1143" i="79"/>
  <c r="AA1142" i="79"/>
  <c r="AA1140" i="79"/>
  <c r="AA1138" i="79"/>
  <c r="AA1145" i="79"/>
  <c r="AA1137" i="79"/>
  <c r="AA1144" i="79"/>
  <c r="AA1146" i="79"/>
  <c r="AA1141" i="79"/>
  <c r="AA1139" i="79"/>
  <c r="AI390" i="79"/>
  <c r="Z590" i="79"/>
  <c r="E73" i="43" s="1"/>
  <c r="Z777" i="79"/>
  <c r="Z776" i="79"/>
  <c r="Z778" i="79"/>
  <c r="Z775" i="79"/>
  <c r="Z1143" i="79"/>
  <c r="Z1138" i="79"/>
  <c r="Z1139" i="79"/>
  <c r="Z1142" i="79"/>
  <c r="Z1137" i="79"/>
  <c r="Z1141" i="79"/>
  <c r="Z1140" i="79"/>
  <c r="Z1144" i="79"/>
  <c r="Z1145" i="79"/>
  <c r="AG1146" i="79"/>
  <c r="AG1137" i="79"/>
  <c r="AG1139" i="79"/>
  <c r="AG1145" i="79"/>
  <c r="AG1142" i="79"/>
  <c r="AG1143" i="79"/>
  <c r="AG1144" i="79"/>
  <c r="AG1138" i="79"/>
  <c r="AG1141" i="79"/>
  <c r="AG1140" i="79"/>
  <c r="AF957" i="79"/>
  <c r="AF954" i="79"/>
  <c r="AF958" i="79"/>
  <c r="AF959" i="79"/>
  <c r="AF961" i="79"/>
  <c r="AF956" i="79"/>
  <c r="AF962" i="79"/>
  <c r="AF960" i="79"/>
  <c r="AF955" i="79"/>
  <c r="AD956" i="79"/>
  <c r="AD961" i="79"/>
  <c r="AD958" i="79"/>
  <c r="AD955" i="79"/>
  <c r="AD960" i="79"/>
  <c r="AD954" i="79"/>
  <c r="AD959" i="79"/>
  <c r="AD962" i="79"/>
  <c r="AD957" i="79"/>
  <c r="AK392" i="46"/>
  <c r="P61" i="43" s="1"/>
  <c r="AK388" i="46"/>
  <c r="AL205" i="79"/>
  <c r="Q67" i="43" s="1"/>
  <c r="AE389" i="79"/>
  <c r="AK776" i="79"/>
  <c r="AK777" i="79"/>
  <c r="AK771" i="79"/>
  <c r="AK775" i="79"/>
  <c r="AK774" i="79"/>
  <c r="AK778" i="79"/>
  <c r="AK772" i="79"/>
  <c r="AK773" i="79"/>
  <c r="AF771" i="79"/>
  <c r="AF775" i="79"/>
  <c r="AF778" i="79"/>
  <c r="AF772" i="79"/>
  <c r="AF776" i="79"/>
  <c r="AF777" i="79"/>
  <c r="AF773" i="79"/>
  <c r="AF774" i="79"/>
  <c r="AD1143" i="79"/>
  <c r="AD1141" i="79"/>
  <c r="AD1145" i="79"/>
  <c r="AD1137" i="79"/>
  <c r="AD1144" i="79"/>
  <c r="AD1140" i="79"/>
  <c r="AD1142" i="79"/>
  <c r="AD1146" i="79"/>
  <c r="AD1139" i="79"/>
  <c r="AD1138" i="79"/>
  <c r="AL1137" i="79"/>
  <c r="AL1145" i="79"/>
  <c r="AL1140" i="79"/>
  <c r="AL1146" i="79"/>
  <c r="AL1144" i="79"/>
  <c r="AL1138" i="79"/>
  <c r="AL1143" i="79"/>
  <c r="AL1139" i="79"/>
  <c r="AL1141" i="79"/>
  <c r="AL1142" i="79"/>
  <c r="AE960" i="79"/>
  <c r="AE962" i="79"/>
  <c r="AE956" i="79"/>
  <c r="AE958" i="79"/>
  <c r="AE957" i="79"/>
  <c r="AE961" i="79"/>
  <c r="AE954" i="79"/>
  <c r="AE959" i="79"/>
  <c r="AE955" i="79"/>
  <c r="AC958" i="79"/>
  <c r="AC955" i="79"/>
  <c r="AC957" i="79"/>
  <c r="AC954" i="79"/>
  <c r="AC960" i="79"/>
  <c r="AC956" i="79"/>
  <c r="AC961" i="79"/>
  <c r="AC959" i="79"/>
  <c r="AC962" i="79"/>
  <c r="Z586" i="79"/>
  <c r="AB774" i="79"/>
  <c r="AB776" i="79"/>
  <c r="AB778" i="79"/>
  <c r="AB773" i="79"/>
  <c r="AB771" i="79"/>
  <c r="AB772" i="79"/>
  <c r="AB775" i="79"/>
  <c r="AB777" i="79"/>
  <c r="AG778" i="79"/>
  <c r="AG776" i="79"/>
  <c r="AG775" i="79"/>
  <c r="AG777" i="79"/>
  <c r="AG771" i="79"/>
  <c r="AG773" i="79"/>
  <c r="AG772" i="79"/>
  <c r="AG774" i="79"/>
  <c r="AE386" i="79"/>
  <c r="AE390" i="79"/>
  <c r="AB1144" i="79"/>
  <c r="AB1138" i="79"/>
  <c r="AB1139" i="79"/>
  <c r="AB1145" i="79"/>
  <c r="AB1140" i="79"/>
  <c r="AB1146" i="79"/>
  <c r="AB1143" i="79"/>
  <c r="AB1141" i="79"/>
  <c r="AB1142" i="79"/>
  <c r="AB1137" i="79"/>
  <c r="AI1146" i="79"/>
  <c r="AI1142" i="79"/>
  <c r="AI1141" i="79"/>
  <c r="AI1140" i="79"/>
  <c r="AI1139" i="79"/>
  <c r="AI1143" i="79"/>
  <c r="AI1144" i="79"/>
  <c r="AI1137" i="79"/>
  <c r="AI1138" i="79"/>
  <c r="AI1145" i="79"/>
  <c r="AL954" i="79"/>
  <c r="AL955" i="79"/>
  <c r="AL962" i="79"/>
  <c r="AL956" i="79"/>
  <c r="AL959" i="79"/>
  <c r="AL960" i="79"/>
  <c r="AL961" i="79"/>
  <c r="AL957" i="79"/>
  <c r="AL958" i="79"/>
  <c r="AI387" i="79"/>
  <c r="AF205" i="79"/>
  <c r="K67" i="43" s="1"/>
  <c r="AA777" i="79"/>
  <c r="AA778" i="79"/>
  <c r="AA776" i="79"/>
  <c r="AA775" i="79"/>
  <c r="AI777" i="79"/>
  <c r="AI775" i="79"/>
  <c r="AI778" i="79"/>
  <c r="AI771" i="79"/>
  <c r="AI776" i="79"/>
  <c r="AI773" i="79"/>
  <c r="AI774" i="79"/>
  <c r="AI772" i="79"/>
  <c r="AD202" i="79"/>
  <c r="AD199" i="79"/>
  <c r="AF964" i="79"/>
  <c r="K79" i="43" s="1"/>
  <c r="AE1138" i="79"/>
  <c r="AE1140" i="79"/>
  <c r="AE1145" i="79"/>
  <c r="AE1144" i="79"/>
  <c r="AE1143" i="79"/>
  <c r="AE1139" i="79"/>
  <c r="AE1137" i="79"/>
  <c r="AE1142" i="79"/>
  <c r="AE1146" i="79"/>
  <c r="AE1141" i="79"/>
  <c r="AJ1144" i="79"/>
  <c r="AJ1145" i="79"/>
  <c r="AJ1139" i="79"/>
  <c r="AJ1141" i="79"/>
  <c r="AJ1138" i="79"/>
  <c r="AJ1143" i="79"/>
  <c r="AJ1137" i="79"/>
  <c r="AJ1146" i="79"/>
  <c r="AJ1140" i="79"/>
  <c r="AJ1142" i="79"/>
  <c r="AK961" i="79"/>
  <c r="AK954" i="79"/>
  <c r="AK956" i="79"/>
  <c r="AK960" i="79"/>
  <c r="AK962" i="79"/>
  <c r="AK959" i="79"/>
  <c r="AK957" i="79"/>
  <c r="AK958" i="79"/>
  <c r="AK955" i="79"/>
  <c r="AD773" i="79"/>
  <c r="AD775" i="79"/>
  <c r="AD774" i="79"/>
  <c r="AD778" i="79"/>
  <c r="AD777" i="79"/>
  <c r="AD776" i="79"/>
  <c r="AD771" i="79"/>
  <c r="AD772" i="79"/>
  <c r="AK1142" i="79"/>
  <c r="AK1146" i="79"/>
  <c r="AK1141" i="79"/>
  <c r="AK1137" i="79"/>
  <c r="AK1143" i="79"/>
  <c r="AK1139" i="79"/>
  <c r="AK1145" i="79"/>
  <c r="AK1140" i="79"/>
  <c r="AK1144" i="79"/>
  <c r="AK1138" i="79"/>
  <c r="AI389" i="79"/>
  <c r="AH772" i="79"/>
  <c r="AH778" i="79"/>
  <c r="AH777" i="79"/>
  <c r="AH771" i="79"/>
  <c r="AH774" i="79"/>
  <c r="AH773" i="79"/>
  <c r="AH776" i="79"/>
  <c r="AH775" i="79"/>
  <c r="AL964" i="79"/>
  <c r="Q79" i="43" s="1"/>
  <c r="Y586" i="79"/>
  <c r="Z960" i="79"/>
  <c r="Z954" i="79"/>
  <c r="Z961" i="79"/>
  <c r="Z956" i="79"/>
  <c r="Z962" i="79"/>
  <c r="Z959" i="79"/>
  <c r="Z957" i="79"/>
  <c r="Z958" i="79"/>
  <c r="Z955" i="79"/>
  <c r="AI392" i="79"/>
  <c r="N70" i="43" s="1"/>
  <c r="AF203" i="79"/>
  <c r="Y390" i="79"/>
  <c r="AJ776" i="79"/>
  <c r="AJ777" i="79"/>
  <c r="AJ778" i="79"/>
  <c r="AJ772" i="79"/>
  <c r="AJ771" i="79"/>
  <c r="AJ774" i="79"/>
  <c r="AJ775" i="79"/>
  <c r="AJ773" i="79"/>
  <c r="AL771" i="79"/>
  <c r="AL772" i="79"/>
  <c r="AL777" i="79"/>
  <c r="AL778" i="79"/>
  <c r="AL774" i="79"/>
  <c r="AL775" i="79"/>
  <c r="AL776" i="79"/>
  <c r="AL773" i="79"/>
  <c r="AG1148" i="79"/>
  <c r="L82" i="43" s="1"/>
  <c r="AK780" i="79"/>
  <c r="P76" i="43" s="1"/>
  <c r="AF1139" i="79"/>
  <c r="AF1144" i="79"/>
  <c r="AF1143" i="79"/>
  <c r="AF1141" i="79"/>
  <c r="AF1146" i="79"/>
  <c r="AF1138" i="79"/>
  <c r="AF1142" i="79"/>
  <c r="AF1137" i="79"/>
  <c r="AF1140" i="79"/>
  <c r="AF1145" i="79"/>
  <c r="AB954" i="79"/>
  <c r="AB961" i="79"/>
  <c r="AB956" i="79"/>
  <c r="AB960" i="79"/>
  <c r="AB959" i="79"/>
  <c r="AB962" i="79"/>
  <c r="AB958" i="79"/>
  <c r="AB957" i="79"/>
  <c r="AB955" i="79"/>
  <c r="AI957" i="79"/>
  <c r="AI960" i="79"/>
  <c r="AI958" i="79"/>
  <c r="AI961" i="79"/>
  <c r="AI955" i="79"/>
  <c r="AI959" i="79"/>
  <c r="AI962" i="79"/>
  <c r="AI954" i="79"/>
  <c r="AI956" i="79"/>
  <c r="AG780" i="79"/>
  <c r="L76" i="43" s="1"/>
  <c r="AE778" i="79"/>
  <c r="AE775" i="79"/>
  <c r="AE771" i="79"/>
  <c r="AE776" i="79"/>
  <c r="AE777" i="79"/>
  <c r="AE774" i="79"/>
  <c r="AE772" i="79"/>
  <c r="AE773" i="79"/>
  <c r="AC1137" i="79"/>
  <c r="AC1141" i="79"/>
  <c r="AC1138" i="79"/>
  <c r="AC1145" i="79"/>
  <c r="AC1146" i="79"/>
  <c r="AC1143" i="79"/>
  <c r="AC1140" i="79"/>
  <c r="AC1139" i="79"/>
  <c r="AC1142" i="79"/>
  <c r="AC1144" i="79"/>
  <c r="AG956" i="79"/>
  <c r="AG959" i="79"/>
  <c r="AG957" i="79"/>
  <c r="AG961" i="79"/>
  <c r="AG958" i="79"/>
  <c r="AG954" i="79"/>
  <c r="AG962" i="79"/>
  <c r="AG955" i="79"/>
  <c r="AG960" i="79"/>
  <c r="AD964" i="79"/>
  <c r="I79" i="43" s="1"/>
  <c r="AI388" i="79"/>
  <c r="AF199" i="79"/>
  <c r="AE385" i="79"/>
  <c r="Z588" i="79"/>
  <c r="AA1148" i="79"/>
  <c r="F82" i="43" s="1"/>
  <c r="AD780" i="79"/>
  <c r="I76" i="43" s="1"/>
  <c r="AC776" i="79"/>
  <c r="AC774" i="79"/>
  <c r="AC773" i="79"/>
  <c r="AC775" i="79"/>
  <c r="AC777" i="79"/>
  <c r="AC778" i="79"/>
  <c r="AC771" i="79"/>
  <c r="AC772" i="79"/>
  <c r="AI1148" i="79"/>
  <c r="N82" i="43" s="1"/>
  <c r="AF1148" i="79"/>
  <c r="K82" i="43" s="1"/>
  <c r="AH1146" i="79"/>
  <c r="AH1144" i="79"/>
  <c r="AH1145" i="79"/>
  <c r="AH1137" i="79"/>
  <c r="AH1143" i="79"/>
  <c r="AH1141" i="79"/>
  <c r="AH1139" i="79"/>
  <c r="AH1140" i="79"/>
  <c r="AH1138" i="79"/>
  <c r="AH1142" i="79"/>
  <c r="Y959" i="79"/>
  <c r="Y957" i="79"/>
  <c r="AA958" i="79"/>
  <c r="AA962" i="79"/>
  <c r="AA957" i="79"/>
  <c r="AA956" i="79"/>
  <c r="AA960" i="79"/>
  <c r="AA954" i="79"/>
  <c r="AA959" i="79"/>
  <c r="AA955" i="79"/>
  <c r="AA961" i="79"/>
  <c r="AJ957" i="79"/>
  <c r="AJ958" i="79"/>
  <c r="AJ955" i="79"/>
  <c r="AJ960" i="79"/>
  <c r="AJ956" i="79"/>
  <c r="AJ954" i="79"/>
  <c r="AJ961" i="79"/>
  <c r="AJ959" i="79"/>
  <c r="AJ962" i="79"/>
  <c r="AI780" i="79"/>
  <c r="N76" i="43" s="1"/>
  <c r="AH958" i="79"/>
  <c r="AH956" i="79"/>
  <c r="AH955" i="79"/>
  <c r="AH959" i="79"/>
  <c r="AH960" i="79"/>
  <c r="AH954" i="79"/>
  <c r="AH961" i="79"/>
  <c r="AH962" i="79"/>
  <c r="AH957" i="79"/>
  <c r="P15" i="47"/>
  <c r="AI205" i="79"/>
  <c r="N67" i="43" s="1"/>
  <c r="AF391" i="46"/>
  <c r="K60" i="43" s="1"/>
  <c r="AJ521" i="46"/>
  <c r="O63" i="43" s="1"/>
  <c r="AF521" i="46"/>
  <c r="K63" i="43" s="1"/>
  <c r="AH261" i="46"/>
  <c r="M57" i="43" s="1"/>
  <c r="AA391" i="79"/>
  <c r="AG391" i="46"/>
  <c r="L60" i="43" s="1"/>
  <c r="D82" i="43"/>
  <c r="Y114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AL521" i="46"/>
  <c r="Q63" i="43" s="1"/>
  <c r="AC391" i="46"/>
  <c r="H60" i="43" s="1"/>
  <c r="AE521" i="46"/>
  <c r="J63" i="43" s="1"/>
  <c r="AD391" i="46"/>
  <c r="I60" i="43" s="1"/>
  <c r="AB521" i="46"/>
  <c r="G63" i="43" s="1"/>
  <c r="AD521" i="46"/>
  <c r="I63" i="43" s="1"/>
  <c r="AA521" i="46"/>
  <c r="AC521" i="46"/>
  <c r="H63" i="43" s="1"/>
  <c r="Z521" i="46"/>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Z261" i="46"/>
  <c r="Y391" i="46"/>
  <c r="J54" i="43"/>
  <c r="AE204" i="79" l="1"/>
  <c r="J66" i="43" s="1"/>
  <c r="AK589" i="79"/>
  <c r="P72" i="43" s="1"/>
  <c r="AM386" i="79"/>
  <c r="V39" i="47"/>
  <c r="R30" i="47"/>
  <c r="N51" i="47"/>
  <c r="K45" i="47"/>
  <c r="R54" i="43"/>
  <c r="M45" i="47"/>
  <c r="S56" i="47"/>
  <c r="P39" i="47"/>
  <c r="Z779" i="79"/>
  <c r="E75" i="43" s="1"/>
  <c r="Y589" i="79"/>
  <c r="D72" i="43" s="1"/>
  <c r="AM385" i="79"/>
  <c r="AM387" i="79"/>
  <c r="AM205" i="79"/>
  <c r="G104" i="43" s="1"/>
  <c r="AD589" i="79"/>
  <c r="I72" i="43" s="1"/>
  <c r="AJ589" i="79"/>
  <c r="O72" i="43" s="1"/>
  <c r="AM521" i="46"/>
  <c r="AM523" i="46" s="1"/>
  <c r="U31" i="47"/>
  <c r="R55" i="43"/>
  <c r="AM261" i="46"/>
  <c r="AM263" i="46" s="1"/>
  <c r="AM388" i="46"/>
  <c r="AM584" i="79"/>
  <c r="AM390" i="46"/>
  <c r="AM200" i="79"/>
  <c r="AM199" i="79"/>
  <c r="AM1138" i="79"/>
  <c r="AM1139" i="79"/>
  <c r="AM773" i="79"/>
  <c r="AM1141" i="79"/>
  <c r="AM777" i="79"/>
  <c r="AM772" i="79"/>
  <c r="AM1137" i="79"/>
  <c r="AM771" i="79"/>
  <c r="AM955" i="79"/>
  <c r="AM1145" i="79"/>
  <c r="AM1143" i="79"/>
  <c r="AM201" i="79"/>
  <c r="AM389" i="46"/>
  <c r="AM133" i="46"/>
  <c r="AM1140" i="79"/>
  <c r="AM1142" i="79"/>
  <c r="AM957" i="79"/>
  <c r="AM588" i="79"/>
  <c r="AM776" i="79"/>
  <c r="AM1146" i="79"/>
  <c r="AM774" i="79"/>
  <c r="AM1144" i="79"/>
  <c r="AM775" i="79"/>
  <c r="AM202" i="79"/>
  <c r="AM203" i="79"/>
  <c r="AM583" i="79"/>
  <c r="D79" i="43"/>
  <c r="R79" i="43" s="1"/>
  <c r="AM964" i="79"/>
  <c r="K104" i="43" s="1"/>
  <c r="AM958" i="79"/>
  <c r="AM390" i="79"/>
  <c r="AM585" i="79"/>
  <c r="R73" i="43"/>
  <c r="AM590" i="79"/>
  <c r="AM392" i="46"/>
  <c r="E104" i="43" s="1"/>
  <c r="AM582" i="79"/>
  <c r="AM960" i="79"/>
  <c r="AM392" i="79"/>
  <c r="H104" i="43" s="1"/>
  <c r="AM586" i="79"/>
  <c r="AK391" i="46"/>
  <c r="P60" i="43" s="1"/>
  <c r="AM389" i="79"/>
  <c r="AM388" i="79"/>
  <c r="AM587" i="79"/>
  <c r="AM954" i="79"/>
  <c r="AM956" i="79"/>
  <c r="AM1148" i="79"/>
  <c r="L104" i="43" s="1"/>
  <c r="AM959" i="79"/>
  <c r="AM778" i="79"/>
  <c r="AM962" i="79"/>
  <c r="AM961" i="79"/>
  <c r="AM780" i="79"/>
  <c r="D103" i="43"/>
  <c r="C103" i="43"/>
  <c r="AB204" i="79"/>
  <c r="G66" i="43" s="1"/>
  <c r="AL589" i="79"/>
  <c r="Q72" i="43" s="1"/>
  <c r="E95" i="43"/>
  <c r="Z391" i="79"/>
  <c r="AA204" i="79"/>
  <c r="AG589" i="79"/>
  <c r="L72" i="43" s="1"/>
  <c r="AB391" i="79"/>
  <c r="G69" i="43" s="1"/>
  <c r="AA589" i="79"/>
  <c r="F72" i="43" s="1"/>
  <c r="R27" i="47"/>
  <c r="R29" i="47" s="1"/>
  <c r="P30" i="47"/>
  <c r="P37" i="47"/>
  <c r="P33" i="47"/>
  <c r="P56" i="47"/>
  <c r="P32" i="47"/>
  <c r="AG391" i="79"/>
  <c r="L69" i="43" s="1"/>
  <c r="AH391" i="79"/>
  <c r="M69" i="43" s="1"/>
  <c r="AB589" i="79"/>
  <c r="G72" i="43" s="1"/>
  <c r="AI589" i="79"/>
  <c r="N72" i="43" s="1"/>
  <c r="AJ391" i="79"/>
  <c r="O69" i="43" s="1"/>
  <c r="AL391" i="79"/>
  <c r="Q69" i="43" s="1"/>
  <c r="H97" i="43"/>
  <c r="P48" i="47"/>
  <c r="AD204" i="79"/>
  <c r="I66" i="43" s="1"/>
  <c r="K95" i="43"/>
  <c r="AF391" i="79"/>
  <c r="K69" i="43" s="1"/>
  <c r="P54" i="47"/>
  <c r="AF589" i="79"/>
  <c r="K72" i="43" s="1"/>
  <c r="AF204" i="79"/>
  <c r="K66" i="43" s="1"/>
  <c r="AK391" i="79"/>
  <c r="P69" i="43" s="1"/>
  <c r="AG204" i="79"/>
  <c r="L66" i="43" s="1"/>
  <c r="P34" i="47"/>
  <c r="P40" i="47"/>
  <c r="AK204" i="79"/>
  <c r="P66" i="43" s="1"/>
  <c r="Z204" i="79"/>
  <c r="Y963" i="79"/>
  <c r="D78" i="43" s="1"/>
  <c r="H94" i="43"/>
  <c r="H96" i="43"/>
  <c r="AI204" i="79"/>
  <c r="N66" i="43" s="1"/>
  <c r="AE589" i="79"/>
  <c r="J72" i="43" s="1"/>
  <c r="P51" i="47"/>
  <c r="K94" i="43"/>
  <c r="AH589" i="79"/>
  <c r="M72" i="43" s="1"/>
  <c r="AC391" i="79"/>
  <c r="H69" i="43" s="1"/>
  <c r="I99" i="43"/>
  <c r="H93" i="43"/>
  <c r="H98" i="43"/>
  <c r="P55" i="47"/>
  <c r="AI1147" i="79"/>
  <c r="N81" i="43" s="1"/>
  <c r="AB1147" i="79"/>
  <c r="G81" i="43" s="1"/>
  <c r="J99" i="43"/>
  <c r="I95" i="43"/>
  <c r="P50" i="47"/>
  <c r="K101" i="43"/>
  <c r="R76" i="43"/>
  <c r="J98" i="43"/>
  <c r="R70" i="43"/>
  <c r="AC204" i="79"/>
  <c r="H66" i="43" s="1"/>
  <c r="AC589" i="79"/>
  <c r="H72" i="43" s="1"/>
  <c r="K97" i="43"/>
  <c r="L100" i="43"/>
  <c r="J97" i="43"/>
  <c r="P47" i="47"/>
  <c r="P35" i="47"/>
  <c r="P38" i="47"/>
  <c r="AD391" i="79"/>
  <c r="I69" i="43" s="1"/>
  <c r="AD1147" i="79"/>
  <c r="I81" i="43" s="1"/>
  <c r="AF963" i="79"/>
  <c r="K78" i="43" s="1"/>
  <c r="I93" i="43"/>
  <c r="P53" i="47"/>
  <c r="P36" i="47"/>
  <c r="P31" i="47"/>
  <c r="H95" i="43"/>
  <c r="AG963" i="79"/>
  <c r="L78" i="43" s="1"/>
  <c r="AI391" i="79"/>
  <c r="N69" i="43" s="1"/>
  <c r="I98" i="43"/>
  <c r="L94" i="43"/>
  <c r="R61" i="43"/>
  <c r="P46" i="47"/>
  <c r="P52" i="47"/>
  <c r="P41" i="47"/>
  <c r="J96" i="43"/>
  <c r="L95" i="43"/>
  <c r="K93" i="43"/>
  <c r="P45" i="47"/>
  <c r="P49" i="47"/>
  <c r="L102" i="43"/>
  <c r="M102" i="43" s="1"/>
  <c r="I94" i="43"/>
  <c r="AE391" i="79"/>
  <c r="J69" i="43" s="1"/>
  <c r="Z589" i="79"/>
  <c r="E72" i="43" s="1"/>
  <c r="AH963" i="79"/>
  <c r="M78" i="43" s="1"/>
  <c r="K99" i="43"/>
  <c r="AD779" i="79"/>
  <c r="I75" i="43" s="1"/>
  <c r="J93" i="43"/>
  <c r="AE963" i="79"/>
  <c r="J78" i="43" s="1"/>
  <c r="AL1147" i="79"/>
  <c r="Q81" i="43" s="1"/>
  <c r="AK779" i="79"/>
  <c r="P75" i="43" s="1"/>
  <c r="L93" i="43"/>
  <c r="Z1147" i="79"/>
  <c r="E81" i="43" s="1"/>
  <c r="G97" i="43"/>
  <c r="AH1147" i="79"/>
  <c r="M81" i="43" s="1"/>
  <c r="AF1147" i="79"/>
  <c r="K81" i="43" s="1"/>
  <c r="AC963" i="79"/>
  <c r="H78" i="43" s="1"/>
  <c r="AG1147" i="79"/>
  <c r="L81" i="43" s="1"/>
  <c r="L98" i="43"/>
  <c r="J94" i="43"/>
  <c r="L97" i="43"/>
  <c r="AL779" i="79"/>
  <c r="Q75" i="43" s="1"/>
  <c r="AF779" i="79"/>
  <c r="K75" i="43" s="1"/>
  <c r="AD963" i="79"/>
  <c r="I78" i="43" s="1"/>
  <c r="J95" i="43"/>
  <c r="I96" i="43"/>
  <c r="AC779" i="79"/>
  <c r="H75" i="43" s="1"/>
  <c r="K100" i="43"/>
  <c r="AK1147" i="79"/>
  <c r="P81" i="43" s="1"/>
  <c r="AJ1147" i="79"/>
  <c r="O81" i="43" s="1"/>
  <c r="AI779" i="79"/>
  <c r="N75" i="43" s="1"/>
  <c r="AA779" i="79"/>
  <c r="F75" i="43" s="1"/>
  <c r="I97" i="43"/>
  <c r="K96" i="43"/>
  <c r="Y391" i="79"/>
  <c r="L99" i="43"/>
  <c r="R82" i="43"/>
  <c r="AJ963" i="79"/>
  <c r="O78" i="43" s="1"/>
  <c r="K98" i="43"/>
  <c r="AE1147" i="79"/>
  <c r="J81" i="43" s="1"/>
  <c r="AE779" i="79"/>
  <c r="J75" i="43" s="1"/>
  <c r="Z963" i="79"/>
  <c r="E78" i="43" s="1"/>
  <c r="AL963" i="79"/>
  <c r="Q78" i="43" s="1"/>
  <c r="L101" i="43"/>
  <c r="AA963" i="79"/>
  <c r="F78" i="43" s="1"/>
  <c r="AC1147" i="79"/>
  <c r="H81" i="43" s="1"/>
  <c r="AI963" i="79"/>
  <c r="N78" i="43" s="1"/>
  <c r="AB963" i="79"/>
  <c r="G78" i="43" s="1"/>
  <c r="AJ779" i="79"/>
  <c r="O75" i="43" s="1"/>
  <c r="AH779" i="79"/>
  <c r="M75" i="43" s="1"/>
  <c r="AK963" i="79"/>
  <c r="P78" i="43" s="1"/>
  <c r="AG779" i="79"/>
  <c r="L75" i="43" s="1"/>
  <c r="AB779" i="79"/>
  <c r="G75" i="43" s="1"/>
  <c r="L96" i="43"/>
  <c r="J100" i="43"/>
  <c r="AA1147"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J214" i="47" l="1"/>
  <c r="Q186" i="47"/>
  <c r="N232" i="47"/>
  <c r="V186" i="47"/>
  <c r="T170" i="47"/>
  <c r="I235" i="47"/>
  <c r="M180" i="47"/>
  <c r="E39" i="43"/>
  <c r="T171" i="47"/>
  <c r="K225" i="47"/>
  <c r="S183" i="47"/>
  <c r="S230" i="47"/>
  <c r="S216" i="47"/>
  <c r="S229" i="47"/>
  <c r="U206" i="47"/>
  <c r="S176" i="47"/>
  <c r="S196" i="47"/>
  <c r="U199" i="47"/>
  <c r="P206" i="47"/>
  <c r="L217" i="47"/>
  <c r="S217" i="47"/>
  <c r="S186" i="47"/>
  <c r="R211" i="47"/>
  <c r="O231" i="47"/>
  <c r="S198" i="47"/>
  <c r="S168" i="47"/>
  <c r="S221" i="47"/>
  <c r="S173" i="47"/>
  <c r="T198" i="47"/>
  <c r="S171" i="47"/>
  <c r="Q187" i="47"/>
  <c r="S206" i="47"/>
  <c r="S225" i="47"/>
  <c r="N233" i="47"/>
  <c r="M220" i="47"/>
  <c r="P230" i="47"/>
  <c r="P168" i="47"/>
  <c r="P220" i="47"/>
  <c r="P233" i="47"/>
  <c r="P228" i="47"/>
  <c r="P211" i="47"/>
  <c r="P187" i="47"/>
  <c r="P182" i="47"/>
  <c r="P183" i="47"/>
  <c r="P180" i="47"/>
  <c r="P171" i="47"/>
  <c r="P218" i="47"/>
  <c r="Q216" i="47"/>
  <c r="Q189" i="47"/>
  <c r="Q227" i="47"/>
  <c r="Q225" i="47"/>
  <c r="Q206" i="47"/>
  <c r="E37" i="43"/>
  <c r="Q199" i="47"/>
  <c r="Q198" i="47"/>
  <c r="Q180" i="47"/>
  <c r="Q203" i="47"/>
  <c r="Q166" i="47"/>
  <c r="Q214" i="47"/>
  <c r="Q204" i="47"/>
  <c r="Q205" i="47"/>
  <c r="Q234" i="47"/>
  <c r="U201" i="47"/>
  <c r="U181" i="47"/>
  <c r="U172" i="47"/>
  <c r="U205" i="47"/>
  <c r="U174" i="47"/>
  <c r="U167" i="47"/>
  <c r="U227" i="47"/>
  <c r="M171" i="47"/>
  <c r="M212" i="47"/>
  <c r="M165" i="47"/>
  <c r="M216" i="47"/>
  <c r="M203" i="47"/>
  <c r="M211" i="47"/>
  <c r="I174" i="47"/>
  <c r="I184" i="47"/>
  <c r="I165" i="47"/>
  <c r="I200" i="47"/>
  <c r="I189" i="47"/>
  <c r="I211" i="47"/>
  <c r="I215" i="47"/>
  <c r="I234" i="47"/>
  <c r="N226" i="47"/>
  <c r="T204" i="47"/>
  <c r="T190" i="47"/>
  <c r="T183" i="47"/>
  <c r="T197" i="47"/>
  <c r="T233" i="47"/>
  <c r="T181" i="47"/>
  <c r="T189" i="47"/>
  <c r="K173" i="47"/>
  <c r="K219" i="47"/>
  <c r="K168" i="47"/>
  <c r="K210" i="47"/>
  <c r="K181" i="47"/>
  <c r="K215" i="47"/>
  <c r="K202" i="47"/>
  <c r="K226" i="47"/>
  <c r="N180" i="47"/>
  <c r="N235" i="47"/>
  <c r="N182" i="47"/>
  <c r="N210" i="47"/>
  <c r="N196" i="47"/>
  <c r="N219" i="47"/>
  <c r="J168" i="47"/>
  <c r="J171" i="47"/>
  <c r="J187" i="47"/>
  <c r="J186" i="47"/>
  <c r="J204" i="47"/>
  <c r="J229" i="47"/>
  <c r="J210" i="47"/>
  <c r="J233" i="47"/>
  <c r="M213" i="47"/>
  <c r="T213" i="47"/>
  <c r="R216" i="47"/>
  <c r="R200" i="47"/>
  <c r="R201" i="47"/>
  <c r="R203" i="47"/>
  <c r="E38" i="43"/>
  <c r="R185" i="47"/>
  <c r="V232" i="47"/>
  <c r="V170" i="47"/>
  <c r="V201" i="47"/>
  <c r="V175" i="47"/>
  <c r="E42" i="43"/>
  <c r="V204" i="47"/>
  <c r="V172" i="47"/>
  <c r="O174" i="47"/>
  <c r="O168" i="47"/>
  <c r="O182" i="47"/>
  <c r="O191" i="47"/>
  <c r="O186" i="47"/>
  <c r="O232" i="47"/>
  <c r="O212" i="47"/>
  <c r="M202" i="47"/>
  <c r="L189" i="47"/>
  <c r="L167" i="47"/>
  <c r="L203" i="47"/>
  <c r="L174" i="47"/>
  <c r="L214" i="47"/>
  <c r="L168" i="47"/>
  <c r="S170" i="47"/>
  <c r="L81" i="47"/>
  <c r="L236" i="47"/>
  <c r="E32" i="43"/>
  <c r="L197" i="47"/>
  <c r="L176" i="47"/>
  <c r="L232" i="47"/>
  <c r="L205" i="47"/>
  <c r="L186" i="47"/>
  <c r="L175" i="47"/>
  <c r="L219" i="47"/>
  <c r="L191" i="47"/>
  <c r="L172" i="47"/>
  <c r="L220" i="47"/>
  <c r="L227" i="47"/>
  <c r="L206" i="47"/>
  <c r="L169" i="47"/>
  <c r="L235" i="47"/>
  <c r="L233" i="47"/>
  <c r="L187" i="47"/>
  <c r="L181" i="47"/>
  <c r="L231" i="47"/>
  <c r="L234" i="47"/>
  <c r="L185" i="47"/>
  <c r="L195" i="47"/>
  <c r="L210" i="47"/>
  <c r="L228" i="47"/>
  <c r="L200" i="47"/>
  <c r="L165" i="47"/>
  <c r="L221" i="47"/>
  <c r="L201" i="47"/>
  <c r="L180" i="47"/>
  <c r="L173" i="47"/>
  <c r="P199" i="47"/>
  <c r="R68" i="47"/>
  <c r="R204" i="47"/>
  <c r="R226" i="47"/>
  <c r="R168" i="47"/>
  <c r="R205" i="47"/>
  <c r="R206" i="47"/>
  <c r="R173" i="47"/>
  <c r="R167" i="47"/>
  <c r="R172" i="47"/>
  <c r="R234" i="47"/>
  <c r="R176" i="47"/>
  <c r="R165" i="47"/>
  <c r="R183" i="47"/>
  <c r="R184" i="47"/>
  <c r="R197" i="47"/>
  <c r="R217" i="47"/>
  <c r="R213" i="47"/>
  <c r="R181" i="47"/>
  <c r="R174" i="47"/>
  <c r="R198" i="47"/>
  <c r="R221" i="47"/>
  <c r="R175" i="47"/>
  <c r="R187" i="47"/>
  <c r="R231" i="47"/>
  <c r="R202" i="47"/>
  <c r="R212" i="47"/>
  <c r="R190" i="47"/>
  <c r="R220" i="47"/>
  <c r="R230" i="47"/>
  <c r="R227" i="47"/>
  <c r="R233" i="47"/>
  <c r="R166" i="47"/>
  <c r="R182" i="47"/>
  <c r="O98" i="47"/>
  <c r="O234" i="47"/>
  <c r="O229" i="47"/>
  <c r="O218" i="47"/>
  <c r="O230" i="47"/>
  <c r="O217" i="47"/>
  <c r="O226" i="47"/>
  <c r="O195" i="47"/>
  <c r="O184" i="47"/>
  <c r="O201" i="47"/>
  <c r="O189" i="47"/>
  <c r="O185" i="47"/>
  <c r="O180" i="47"/>
  <c r="O165" i="47"/>
  <c r="O172" i="47"/>
  <c r="O171" i="47"/>
  <c r="O233" i="47"/>
  <c r="O225" i="47"/>
  <c r="O214" i="47"/>
  <c r="O211" i="47"/>
  <c r="O215" i="47"/>
  <c r="O221" i="47"/>
  <c r="O188" i="47"/>
  <c r="O205" i="47"/>
  <c r="O196" i="47"/>
  <c r="O206" i="47"/>
  <c r="O200" i="47"/>
  <c r="O202" i="47"/>
  <c r="O173" i="47"/>
  <c r="O166" i="47"/>
  <c r="O170" i="47"/>
  <c r="P198" i="47"/>
  <c r="N186" i="47"/>
  <c r="M195" i="47"/>
  <c r="Q212" i="47"/>
  <c r="P214" i="47"/>
  <c r="P212" i="47"/>
  <c r="P201" i="47"/>
  <c r="E36" i="43"/>
  <c r="P229" i="47"/>
  <c r="P189" i="47"/>
  <c r="P184" i="47"/>
  <c r="P202" i="47"/>
  <c r="P166" i="47"/>
  <c r="P181" i="47"/>
  <c r="P169" i="47"/>
  <c r="P227" i="47"/>
  <c r="P191" i="47"/>
  <c r="P172" i="47"/>
  <c r="P213" i="47"/>
  <c r="Q200" i="47"/>
  <c r="Q201" i="47"/>
  <c r="Q195" i="47"/>
  <c r="Q190" i="47"/>
  <c r="Q184" i="47"/>
  <c r="Q174" i="47"/>
  <c r="Q165" i="47"/>
  <c r="Q168" i="47"/>
  <c r="Q175" i="47"/>
  <c r="Q228" i="47"/>
  <c r="Q235" i="47"/>
  <c r="Q226" i="47"/>
  <c r="Q218" i="47"/>
  <c r="S214" i="47"/>
  <c r="S234" i="47"/>
  <c r="S191" i="47"/>
  <c r="S227" i="47"/>
  <c r="S181" i="47"/>
  <c r="S232" i="47"/>
  <c r="S175" i="47"/>
  <c r="S190" i="47"/>
  <c r="S169" i="47"/>
  <c r="S174" i="47"/>
  <c r="S180" i="47"/>
  <c r="S200" i="47"/>
  <c r="U233" i="47"/>
  <c r="U185" i="47"/>
  <c r="U212" i="47"/>
  <c r="U191" i="47"/>
  <c r="U229" i="47"/>
  <c r="U188" i="47"/>
  <c r="U173" i="47"/>
  <c r="M201" i="47"/>
  <c r="M218" i="47"/>
  <c r="E33" i="43"/>
  <c r="M217" i="47"/>
  <c r="M190" i="47"/>
  <c r="M230" i="47"/>
  <c r="I172" i="47"/>
  <c r="I195" i="47"/>
  <c r="I186" i="47"/>
  <c r="I204" i="47"/>
  <c r="I196" i="47"/>
  <c r="I225" i="47"/>
  <c r="I219" i="47"/>
  <c r="N165" i="47"/>
  <c r="T228" i="47"/>
  <c r="T220" i="47"/>
  <c r="T232" i="47"/>
  <c r="T221" i="47"/>
  <c r="T185" i="47"/>
  <c r="T201" i="47"/>
  <c r="K185" i="47"/>
  <c r="K217" i="47"/>
  <c r="K198" i="47"/>
  <c r="K218" i="47"/>
  <c r="K206" i="47"/>
  <c r="K220" i="47"/>
  <c r="K183" i="47"/>
  <c r="N187" i="47"/>
  <c r="N230" i="47"/>
  <c r="N199" i="47"/>
  <c r="N217" i="47"/>
  <c r="N184" i="47"/>
  <c r="J173" i="47"/>
  <c r="J180" i="47"/>
  <c r="J196" i="47"/>
  <c r="J190" i="47"/>
  <c r="E30" i="43"/>
  <c r="J212" i="47"/>
  <c r="J218" i="47"/>
  <c r="J236" i="47"/>
  <c r="M181" i="47"/>
  <c r="R195" i="47"/>
  <c r="R196" i="47"/>
  <c r="R171" i="47"/>
  <c r="R214" i="47"/>
  <c r="R232" i="47"/>
  <c r="R170" i="47"/>
  <c r="R228" i="47"/>
  <c r="V196" i="47"/>
  <c r="V228" i="47"/>
  <c r="V210" i="47"/>
  <c r="V226" i="47"/>
  <c r="V215" i="47"/>
  <c r="V234" i="47"/>
  <c r="O175" i="47"/>
  <c r="O169" i="47"/>
  <c r="O204" i="47"/>
  <c r="O199" i="47"/>
  <c r="O190" i="47"/>
  <c r="O210" i="47"/>
  <c r="O216" i="47"/>
  <c r="O235" i="47"/>
  <c r="L171" i="47"/>
  <c r="L225" i="47"/>
  <c r="L166" i="47"/>
  <c r="L230" i="47"/>
  <c r="L184" i="47"/>
  <c r="L213" i="47"/>
  <c r="L188" i="47"/>
  <c r="L218" i="47"/>
  <c r="I236" i="47"/>
  <c r="I228" i="47"/>
  <c r="I217" i="47"/>
  <c r="I216" i="47"/>
  <c r="I214" i="47"/>
  <c r="I218" i="47"/>
  <c r="I191" i="47"/>
  <c r="I183" i="47"/>
  <c r="I202" i="47"/>
  <c r="I180" i="47"/>
  <c r="I203" i="47"/>
  <c r="I168" i="47"/>
  <c r="I199" i="47"/>
  <c r="I169" i="47"/>
  <c r="I173" i="47"/>
  <c r="I150" i="47"/>
  <c r="I232" i="47"/>
  <c r="I221" i="47"/>
  <c r="I213" i="47"/>
  <c r="I233" i="47"/>
  <c r="I220" i="47"/>
  <c r="I229" i="47"/>
  <c r="I187" i="47"/>
  <c r="I206" i="47"/>
  <c r="I198" i="47"/>
  <c r="I188" i="47"/>
  <c r="I205" i="47"/>
  <c r="I166" i="47"/>
  <c r="I167" i="47"/>
  <c r="I171" i="47"/>
  <c r="I175" i="47"/>
  <c r="V165" i="47"/>
  <c r="V189" i="47"/>
  <c r="V197" i="47"/>
  <c r="V216" i="47"/>
  <c r="V174" i="47"/>
  <c r="V169" i="47"/>
  <c r="V168" i="47"/>
  <c r="V235" i="47"/>
  <c r="V233" i="47"/>
  <c r="V182" i="47"/>
  <c r="V167" i="47"/>
  <c r="V183" i="47"/>
  <c r="V176" i="47"/>
  <c r="V188" i="47"/>
  <c r="V199" i="47"/>
  <c r="V225" i="47"/>
  <c r="V220" i="47"/>
  <c r="V187" i="47"/>
  <c r="V203" i="47"/>
  <c r="V198" i="47"/>
  <c r="V214" i="47"/>
  <c r="V202" i="47"/>
  <c r="V191" i="47"/>
  <c r="V190" i="47"/>
  <c r="V230" i="47"/>
  <c r="V211" i="47"/>
  <c r="V200" i="47"/>
  <c r="V221" i="47"/>
  <c r="V236" i="47"/>
  <c r="V212" i="47"/>
  <c r="K233" i="47"/>
  <c r="K213" i="47"/>
  <c r="K191" i="47"/>
  <c r="K176" i="47"/>
  <c r="K231" i="47"/>
  <c r="K232" i="47"/>
  <c r="K189" i="47"/>
  <c r="K165" i="47"/>
  <c r="K229" i="47"/>
  <c r="K230" i="47"/>
  <c r="K187" i="47"/>
  <c r="K169" i="47"/>
  <c r="K216" i="47"/>
  <c r="K190" i="47"/>
  <c r="K182" i="47"/>
  <c r="K166" i="47"/>
  <c r="K214" i="47"/>
  <c r="K188" i="47"/>
  <c r="K180" i="47"/>
  <c r="K170" i="47"/>
  <c r="K212" i="47"/>
  <c r="K186" i="47"/>
  <c r="E31" i="43"/>
  <c r="K174" i="47"/>
  <c r="K228" i="47"/>
  <c r="K184" i="47"/>
  <c r="K200" i="47"/>
  <c r="K235" i="47"/>
  <c r="K221" i="47"/>
  <c r="K196" i="47"/>
  <c r="K172" i="47"/>
  <c r="H20" i="43"/>
  <c r="P236" i="47"/>
  <c r="N204" i="47"/>
  <c r="N212" i="47"/>
  <c r="N195" i="47"/>
  <c r="N191" i="47"/>
  <c r="N227" i="47"/>
  <c r="N228" i="47"/>
  <c r="E34" i="43"/>
  <c r="N176" i="47"/>
  <c r="N221" i="47"/>
  <c r="N229" i="47"/>
  <c r="N205" i="47"/>
  <c r="N174" i="47"/>
  <c r="N216" i="47"/>
  <c r="N220" i="47"/>
  <c r="N171" i="47"/>
  <c r="N213" i="47"/>
  <c r="N218" i="47"/>
  <c r="N201" i="47"/>
  <c r="N169" i="47"/>
  <c r="N214" i="47"/>
  <c r="N200" i="47"/>
  <c r="N189" i="47"/>
  <c r="N170" i="47"/>
  <c r="N211" i="47"/>
  <c r="N198" i="47"/>
  <c r="N185" i="47"/>
  <c r="N166" i="47"/>
  <c r="N203" i="47"/>
  <c r="T202" i="47"/>
  <c r="N168" i="47"/>
  <c r="M168" i="47"/>
  <c r="R235" i="47"/>
  <c r="P216" i="47"/>
  <c r="P196" i="47"/>
  <c r="P186" i="47"/>
  <c r="P188" i="47"/>
  <c r="P185" i="47"/>
  <c r="P195" i="47"/>
  <c r="P175" i="47"/>
  <c r="P173" i="47"/>
  <c r="P235" i="47"/>
  <c r="P231" i="47"/>
  <c r="P217" i="47"/>
  <c r="P226" i="47"/>
  <c r="P221" i="47"/>
  <c r="P200" i="47"/>
  <c r="Q167" i="47"/>
  <c r="Q169" i="47"/>
  <c r="Q173" i="47"/>
  <c r="Q176" i="47"/>
  <c r="Q221" i="47"/>
  <c r="Q219" i="47"/>
  <c r="Q236" i="47"/>
  <c r="Q213" i="47"/>
  <c r="Q211" i="47"/>
  <c r="Q210" i="47"/>
  <c r="Q171" i="47"/>
  <c r="Q170" i="47"/>
  <c r="Q215" i="47"/>
  <c r="S188" i="47"/>
  <c r="S166" i="47"/>
  <c r="S165" i="47"/>
  <c r="S226" i="47"/>
  <c r="S213" i="47"/>
  <c r="S220" i="47"/>
  <c r="S228" i="47"/>
  <c r="S202" i="47"/>
  <c r="S233" i="47"/>
  <c r="S195" i="47"/>
  <c r="S167" i="47"/>
  <c r="S185" i="47"/>
  <c r="U200" i="47"/>
  <c r="U165" i="47"/>
  <c r="U170" i="47"/>
  <c r="U176" i="47"/>
  <c r="U171" i="47"/>
  <c r="U225" i="47"/>
  <c r="M186" i="47"/>
  <c r="M226" i="47"/>
  <c r="M198" i="47"/>
  <c r="M236" i="47"/>
  <c r="M183" i="47"/>
  <c r="I170" i="47"/>
  <c r="I201" i="47"/>
  <c r="I190" i="47"/>
  <c r="E29" i="43"/>
  <c r="I210" i="47"/>
  <c r="I212" i="47"/>
  <c r="I226" i="47"/>
  <c r="M205" i="47"/>
  <c r="T186" i="47"/>
  <c r="T182" i="47"/>
  <c r="T184" i="47"/>
  <c r="T169" i="47"/>
  <c r="T215" i="47"/>
  <c r="T225" i="47"/>
  <c r="K204" i="47"/>
  <c r="K227" i="47"/>
  <c r="K199" i="47"/>
  <c r="K234" i="47"/>
  <c r="K201" i="47"/>
  <c r="K236" i="47"/>
  <c r="K203" i="47"/>
  <c r="N188" i="47"/>
  <c r="N236" i="47"/>
  <c r="N190" i="47"/>
  <c r="N175" i="47"/>
  <c r="N202" i="47"/>
  <c r="J170" i="47"/>
  <c r="J189" i="47"/>
  <c r="J201" i="47"/>
  <c r="J197" i="47"/>
  <c r="J216" i="47"/>
  <c r="J220" i="47"/>
  <c r="P176" i="47"/>
  <c r="R219" i="47"/>
  <c r="R225" i="47"/>
  <c r="R186" i="47"/>
  <c r="R180" i="47"/>
  <c r="R191" i="47"/>
  <c r="R188" i="47"/>
  <c r="R236" i="47"/>
  <c r="V219" i="47"/>
  <c r="V184" i="47"/>
  <c r="V205" i="47"/>
  <c r="V171" i="47"/>
  <c r="V173" i="47"/>
  <c r="V166" i="47"/>
  <c r="V181" i="47"/>
  <c r="V229" i="47"/>
  <c r="O167" i="47"/>
  <c r="O183" i="47"/>
  <c r="O198" i="47"/>
  <c r="O203" i="47"/>
  <c r="O197" i="47"/>
  <c r="O228" i="47"/>
  <c r="O220" i="47"/>
  <c r="O236" i="47"/>
  <c r="L190" i="47"/>
  <c r="L216" i="47"/>
  <c r="L182" i="47"/>
  <c r="L229" i="47"/>
  <c r="L202" i="47"/>
  <c r="L212" i="47"/>
  <c r="L204" i="47"/>
  <c r="L215" i="47"/>
  <c r="N225" i="47"/>
  <c r="M221" i="47"/>
  <c r="M235" i="47"/>
  <c r="M185" i="47"/>
  <c r="M196" i="47"/>
  <c r="M219" i="47"/>
  <c r="M191" i="47"/>
  <c r="M184" i="47"/>
  <c r="M173" i="47"/>
  <c r="M229" i="47"/>
  <c r="M206" i="47"/>
  <c r="M182" i="47"/>
  <c r="M234" i="47"/>
  <c r="M225" i="47"/>
  <c r="M197" i="47"/>
  <c r="M167" i="47"/>
  <c r="M176" i="47"/>
  <c r="M214" i="47"/>
  <c r="M172" i="47"/>
  <c r="M233" i="47"/>
  <c r="M227" i="47"/>
  <c r="M200" i="47"/>
  <c r="M166" i="47"/>
  <c r="M228" i="47"/>
  <c r="M210" i="47"/>
  <c r="M188" i="47"/>
  <c r="M170" i="47"/>
  <c r="M215" i="47"/>
  <c r="M187" i="47"/>
  <c r="M199" i="47"/>
  <c r="M175" i="47"/>
  <c r="R57" i="43"/>
  <c r="J234" i="47"/>
  <c r="J219" i="47"/>
  <c r="J215" i="47"/>
  <c r="J228" i="47"/>
  <c r="J235" i="47"/>
  <c r="J221" i="47"/>
  <c r="J206" i="47"/>
  <c r="J198" i="47"/>
  <c r="J188" i="47"/>
  <c r="J203" i="47"/>
  <c r="J181" i="47"/>
  <c r="J185" i="47"/>
  <c r="J167" i="47"/>
  <c r="J166" i="47"/>
  <c r="J165" i="47"/>
  <c r="J230" i="47"/>
  <c r="J211" i="47"/>
  <c r="J232" i="47"/>
  <c r="J217" i="47"/>
  <c r="J226" i="47"/>
  <c r="J213" i="47"/>
  <c r="J202" i="47"/>
  <c r="J195" i="47"/>
  <c r="J184" i="47"/>
  <c r="J199" i="47"/>
  <c r="J183" i="47"/>
  <c r="J182" i="47"/>
  <c r="J175" i="47"/>
  <c r="J174" i="47"/>
  <c r="J172" i="47"/>
  <c r="T75" i="47"/>
  <c r="T227" i="47"/>
  <c r="T219" i="47"/>
  <c r="T175" i="47"/>
  <c r="T195" i="47"/>
  <c r="T226" i="47"/>
  <c r="T173" i="47"/>
  <c r="T165" i="47"/>
  <c r="T188" i="47"/>
  <c r="T200" i="47"/>
  <c r="T196" i="47"/>
  <c r="T199" i="47"/>
  <c r="T231" i="47"/>
  <c r="T205" i="47"/>
  <c r="E40" i="43"/>
  <c r="T191" i="47"/>
  <c r="T218" i="47"/>
  <c r="T212" i="47"/>
  <c r="T211" i="47"/>
  <c r="T206" i="47"/>
  <c r="T203" i="47"/>
  <c r="T214" i="47"/>
  <c r="T217" i="47"/>
  <c r="T216" i="47"/>
  <c r="T168" i="47"/>
  <c r="T176" i="47"/>
  <c r="T167" i="47"/>
  <c r="T174" i="47"/>
  <c r="T235" i="47"/>
  <c r="T166" i="47"/>
  <c r="S184" i="47"/>
  <c r="S211" i="47"/>
  <c r="S203" i="47"/>
  <c r="S204" i="47"/>
  <c r="S236" i="47"/>
  <c r="S215" i="47"/>
  <c r="Q182" i="47"/>
  <c r="Q202" i="47"/>
  <c r="U47" i="47"/>
  <c r="U220" i="47"/>
  <c r="U228" i="47"/>
  <c r="U236" i="47"/>
  <c r="U203" i="47"/>
  <c r="U211" i="47"/>
  <c r="U232" i="47"/>
  <c r="U226" i="47"/>
  <c r="U219" i="47"/>
  <c r="U235" i="47"/>
  <c r="U234" i="47"/>
  <c r="U230" i="47"/>
  <c r="U213" i="47"/>
  <c r="U168" i="47"/>
  <c r="U175" i="47"/>
  <c r="U215" i="47"/>
  <c r="U187" i="47"/>
  <c r="E41" i="43"/>
  <c r="U198" i="47"/>
  <c r="U189" i="47"/>
  <c r="U180" i="47"/>
  <c r="U195" i="47"/>
  <c r="U186" i="47"/>
  <c r="U184" i="47"/>
  <c r="U202" i="47"/>
  <c r="U197" i="47"/>
  <c r="U190" i="47"/>
  <c r="U182" i="47"/>
  <c r="U204" i="47"/>
  <c r="U231" i="47"/>
  <c r="U196" i="47"/>
  <c r="N234" i="47"/>
  <c r="M232" i="47"/>
  <c r="V195" i="47"/>
  <c r="U166" i="47"/>
  <c r="P204" i="47"/>
  <c r="P190" i="47"/>
  <c r="P174" i="47"/>
  <c r="P167" i="47"/>
  <c r="P170" i="47"/>
  <c r="P215" i="47"/>
  <c r="P210" i="47"/>
  <c r="P219" i="47"/>
  <c r="P232" i="47"/>
  <c r="P205" i="47"/>
  <c r="P197" i="47"/>
  <c r="P165" i="47"/>
  <c r="P225" i="47"/>
  <c r="P203" i="47"/>
  <c r="Q233" i="47"/>
  <c r="Q217" i="47"/>
  <c r="Q232" i="47"/>
  <c r="Q230" i="47"/>
  <c r="Q231" i="47"/>
  <c r="Q196" i="47"/>
  <c r="Q191" i="47"/>
  <c r="Q229" i="47"/>
  <c r="Q185" i="47"/>
  <c r="Q183" i="47"/>
  <c r="Q188" i="47"/>
  <c r="Q197" i="47"/>
  <c r="Q181" i="47"/>
  <c r="Q172" i="47"/>
  <c r="Q220" i="47"/>
  <c r="S182" i="47"/>
  <c r="S231" i="47"/>
  <c r="S218" i="47"/>
  <c r="S187" i="47"/>
  <c r="S205" i="47"/>
  <c r="S197" i="47"/>
  <c r="S235" i="47"/>
  <c r="S172" i="47"/>
  <c r="S210" i="47"/>
  <c r="S212" i="47"/>
  <c r="S201" i="47"/>
  <c r="S219" i="47"/>
  <c r="S189" i="47"/>
  <c r="U221" i="47"/>
  <c r="U214" i="47"/>
  <c r="U210" i="47"/>
  <c r="U218" i="47"/>
  <c r="U216" i="47"/>
  <c r="U183" i="47"/>
  <c r="U169" i="47"/>
  <c r="U217" i="47"/>
  <c r="M204" i="47"/>
  <c r="M174" i="47"/>
  <c r="M189" i="47"/>
  <c r="M169" i="47"/>
  <c r="M231" i="47"/>
  <c r="I176" i="47"/>
  <c r="I182" i="47"/>
  <c r="I181" i="47"/>
  <c r="I197" i="47"/>
  <c r="I185" i="47"/>
  <c r="I231" i="47"/>
  <c r="I227" i="47"/>
  <c r="I230" i="47"/>
  <c r="T229" i="47"/>
  <c r="V213" i="47"/>
  <c r="T210" i="47"/>
  <c r="T234" i="47"/>
  <c r="T236" i="47"/>
  <c r="T187" i="47"/>
  <c r="T180" i="47"/>
  <c r="T172" i="47"/>
  <c r="T230" i="47"/>
  <c r="K205" i="47"/>
  <c r="K175" i="47"/>
  <c r="K195" i="47"/>
  <c r="K171" i="47"/>
  <c r="K197" i="47"/>
  <c r="K167" i="47"/>
  <c r="K211" i="47"/>
  <c r="N167" i="47"/>
  <c r="N206" i="47"/>
  <c r="N173" i="47"/>
  <c r="N215" i="47"/>
  <c r="N172" i="47"/>
  <c r="N231" i="47"/>
  <c r="J176" i="47"/>
  <c r="J169" i="47"/>
  <c r="J191" i="47"/>
  <c r="J205" i="47"/>
  <c r="J200" i="47"/>
  <c r="J227" i="47"/>
  <c r="J231" i="47"/>
  <c r="J225" i="47"/>
  <c r="N181" i="47"/>
  <c r="S199" i="47"/>
  <c r="R199" i="47"/>
  <c r="R169" i="47"/>
  <c r="R215" i="47"/>
  <c r="R218" i="47"/>
  <c r="R229" i="47"/>
  <c r="R210" i="47"/>
  <c r="R189" i="47"/>
  <c r="V180" i="47"/>
  <c r="V218" i="47"/>
  <c r="V217" i="47"/>
  <c r="V206" i="47"/>
  <c r="V231" i="47"/>
  <c r="V185" i="47"/>
  <c r="V227" i="47"/>
  <c r="O176" i="47"/>
  <c r="O181" i="47"/>
  <c r="O187" i="47"/>
  <c r="E35" i="43"/>
  <c r="O213" i="47"/>
  <c r="O219" i="47"/>
  <c r="O227" i="47"/>
  <c r="N183" i="47"/>
  <c r="L198" i="47"/>
  <c r="L211" i="47"/>
  <c r="L183" i="47"/>
  <c r="L226" i="47"/>
  <c r="L196" i="47"/>
  <c r="L170" i="47"/>
  <c r="L199" i="47"/>
  <c r="P234" i="47"/>
  <c r="N197" i="47"/>
  <c r="U83" i="47"/>
  <c r="AM204" i="79"/>
  <c r="AM206" i="79" s="1"/>
  <c r="J104" i="43"/>
  <c r="I104" i="43"/>
  <c r="R75" i="43"/>
  <c r="R66" i="43"/>
  <c r="R69" i="43"/>
  <c r="R60" i="43"/>
  <c r="R72" i="43"/>
  <c r="Q82" i="47"/>
  <c r="P83" i="47"/>
  <c r="AM391" i="46"/>
  <c r="AM393" i="46" s="1"/>
  <c r="U63" i="47"/>
  <c r="U71" i="47"/>
  <c r="AM1147" i="79"/>
  <c r="AM1149" i="79" s="1"/>
  <c r="U48" i="47"/>
  <c r="U50" i="47"/>
  <c r="AM779" i="79"/>
  <c r="AM781" i="79" s="1"/>
  <c r="U61" i="47"/>
  <c r="U65" i="47"/>
  <c r="U49" i="47"/>
  <c r="U56" i="47"/>
  <c r="U68" i="47"/>
  <c r="U70" i="47"/>
  <c r="U45" i="47"/>
  <c r="U46" i="47"/>
  <c r="U60" i="47"/>
  <c r="U66" i="47"/>
  <c r="U69" i="47"/>
  <c r="U52" i="47"/>
  <c r="AM589" i="79"/>
  <c r="AM591" i="79" s="1"/>
  <c r="AM391" i="79"/>
  <c r="AM393" i="79" s="1"/>
  <c r="U62" i="47"/>
  <c r="U64" i="47"/>
  <c r="U54" i="47"/>
  <c r="U55" i="47"/>
  <c r="U67" i="47"/>
  <c r="U53" i="47"/>
  <c r="U51" i="47"/>
  <c r="AM963" i="79"/>
  <c r="AM965"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76" i="47" l="1"/>
  <c r="W226" i="47"/>
  <c r="W213" i="47"/>
  <c r="H19" i="43"/>
  <c r="W235" i="47"/>
  <c r="W195" i="47"/>
  <c r="W184" i="47"/>
  <c r="W232" i="47"/>
  <c r="W175" i="47"/>
  <c r="W205" i="47"/>
  <c r="W173" i="47"/>
  <c r="W203" i="47"/>
  <c r="W191" i="47"/>
  <c r="W219" i="47"/>
  <c r="W186" i="47"/>
  <c r="W189" i="47"/>
  <c r="W174" i="47"/>
  <c r="W188" i="47"/>
  <c r="W230" i="47"/>
  <c r="W197" i="47"/>
  <c r="W212" i="47"/>
  <c r="W201" i="47"/>
  <c r="W221" i="47"/>
  <c r="W228" i="47"/>
  <c r="W171" i="47"/>
  <c r="W229" i="47"/>
  <c r="W169" i="47"/>
  <c r="W180" i="47"/>
  <c r="W218" i="47"/>
  <c r="W225" i="47"/>
  <c r="W234" i="47"/>
  <c r="W200" i="47"/>
  <c r="W185" i="47"/>
  <c r="W187" i="47"/>
  <c r="W227" i="47"/>
  <c r="W181" i="47"/>
  <c r="W210" i="47"/>
  <c r="W170" i="47"/>
  <c r="W167" i="47"/>
  <c r="W198" i="47"/>
  <c r="W220" i="47"/>
  <c r="W199" i="47"/>
  <c r="W202" i="47"/>
  <c r="W214" i="47"/>
  <c r="W236" i="47"/>
  <c r="W196" i="47"/>
  <c r="W172" i="47"/>
  <c r="W215" i="47"/>
  <c r="W165" i="47"/>
  <c r="W190" i="47"/>
  <c r="W231" i="47"/>
  <c r="W182" i="47"/>
  <c r="E43" i="43"/>
  <c r="W166" i="47"/>
  <c r="W206" i="47"/>
  <c r="W233" i="47"/>
  <c r="W168" i="47"/>
  <c r="W183" i="47"/>
  <c r="W216" i="47"/>
  <c r="W217" i="47"/>
  <c r="W204" i="47"/>
  <c r="W21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F35" i="43" s="1"/>
  <c r="G35"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4" i="43" l="1"/>
  <c r="G34" i="43" s="1"/>
  <c r="E85" i="43"/>
  <c r="J85" i="43"/>
  <c r="L164" i="47"/>
  <c r="L177" i="47" s="1"/>
  <c r="L179" i="47" s="1"/>
  <c r="L192" i="47" s="1"/>
  <c r="L194" i="47" s="1"/>
  <c r="L207" i="47" s="1"/>
  <c r="L209" i="47" s="1"/>
  <c r="L222" i="47" s="1"/>
  <c r="L224" i="47" s="1"/>
  <c r="L237" i="47" s="1"/>
  <c r="G84" i="43" s="1"/>
  <c r="F32" i="43" s="1"/>
  <c r="G32" i="43" s="1"/>
  <c r="D85" i="43"/>
  <c r="F33" i="43"/>
  <c r="G33"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<sst xmlns="http://schemas.openxmlformats.org/spreadsheetml/2006/main" count="4774" uniqueCount="922">
  <si>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</si>
  <si>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</si>
  <si>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</si>
  <si>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</si>
  <si>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</si>
  <si>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</si>
  <si>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</si>
  <si>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</si>
  <si>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</si>
  <si>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</si>
  <si>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</si>
  <si>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</si>
  <si>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</si>
  <si>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</si>
  <si>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</si>
  <si>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</si>
  <si>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</si>
  <si>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</si>
  <si>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</si>
  <si>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</si>
  <si>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</si>
  <si>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</si>
  <si>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</si>
  <si>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</si>
  <si>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</si>
  <si>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</si>
  <si>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</si>
  <si>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</si>
  <si>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</si>
  <si>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</si>
  <si>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</si>
  <si>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</si>
  <si>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</si>
  <si>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</si>
  <si>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</si>
  <si>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</si>
  <si>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</si>
  <si>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</si>
  <si>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</si>
  <si>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</si>
  <si>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</si>
  <si>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</si>
  <si>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</si>
  <si>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</si>
  <si>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</si>
  <si>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</si>
  <si>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</si>
  <si>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</si>
  <si>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</si>
  <si>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</si>
  <si>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</si>
  <si>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</si>
  <si>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</si>
  <si>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</si>
  <si>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</si>
  <si>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</si>
  <si>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</si>
  <si>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</si>
  <si>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</si>
  <si>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</si>
  <si>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</si>
  <si>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</si>
  <si>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</si>
  <si>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</si>
  <si>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</si>
  <si>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</si>
  <si>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</si>
  <si>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</si>
  <si>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</si>
  <si>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</si>
  <si>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</si>
  <si>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</si>
  <si>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</si>
  <si>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</si>
  <si>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</si>
  <si>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</si>
  <si>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</si>
  <si>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</si>
  <si>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</si>
  <si>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</si>
  <si>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</si>
  <si>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</si>
  <si>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</si>
  <si>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</si>
  <si>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</si>
  <si>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</si>
  <si>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</si>
  <si>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</si>
  <si>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</si>
  <si>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</si>
  <si>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</si>
  <si>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</si>
  <si>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</si>
  <si>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</si>
  <si>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</si>
  <si>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</si>
  <si>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</si>
  <si>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</si>
  <si>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</si>
  <si>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</si>
  <si>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</si>
  <si>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</si>
  <si>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</si>
  <si>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</si>
  <si>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</si>
  <si>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</si>
  <si>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</si>
  <si>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</si>
  <si>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</si>
  <si>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</si>
  <si>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</si>
  <si>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</si>
  <si>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</si>
  <si>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</si>
  <si>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</si>
  <si>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</si>
  <si>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</si>
  <si>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</si>
  <si>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</si>
  <si>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</si>
  <si>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</si>
  <si>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</si>
  <si>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</si>
  <si>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</si>
  <si>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</si>
  <si>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</si>
  <si>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</si>
  <si>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</si>
  <si>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</si>
  <si>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</si>
  <si>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</si>
  <si>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</si>
  <si>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</si>
  <si>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</si>
  <si>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</si>
  <si>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</si>
  <si>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</si>
  <si>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</si>
  <si>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</si>
  <si>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</si>
  <si>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</si>
  <si>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</si>
  <si>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</si>
  <si>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</si>
  <si>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</si>
  <si>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</si>
  <si>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</si>
  <si>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</si>
  <si>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</si>
  <si>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</si>
  <si>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</si>
  <si>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</si>
  <si>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</si>
  <si>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</si>
  <si>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</si>
  <si>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</si>
  <si>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</si>
  <si>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</si>
  <si>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</si>
  <si>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</si>
  <si>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</si>
  <si>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</si>
  <si>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</si>
  <si>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</si>
  <si>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</si>
  <si>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</si>
  <si>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</si>
  <si>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</si>
  <si>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</si>
  <si>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</si>
  <si>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</si>
  <si>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</si>
  <si>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</si>
  <si>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</si>
  <si>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</si>
  <si>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</si>
  <si>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</si>
  <si>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</si>
  <si>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</si>
  <si>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</si>
  <si>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</si>
  <si>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</si>
  <si>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</si>
  <si>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</si>
  <si>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</si>
  <si>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</si>
  <si>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</si>
  <si>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</si>
  <si>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</si>
  <si>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</si>
  <si>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</si>
  <si>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</si>
  <si>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</si>
  <si>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</si>
  <si>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</si>
  <si>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</si>
  <si>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</si>
  <si>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</si>
  <si>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</si>
  <si>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</si>
  <si>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</si>
  <si>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</si>
  <si>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</si>
  <si>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</si>
  <si>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</si>
  <si>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</si>
  <si>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</si>
  <si>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</si>
  <si>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</si>
  <si>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</si>
  <si>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</si>
  <si>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</si>
  <si>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</si>
  <si>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</si>
  <si>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</si>
  <si>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</si>
  <si>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</si>
  <si>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</si>
  <si>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</si>
  <si>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</si>
  <si>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</si>
  <si>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</si>
  <si>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</si>
  <si>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</si>
  <si>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</si>
  <si>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</si>
  <si>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</si>
  <si>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</si>
  <si>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</si>
  <si>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</si>
  <si>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</si>
  <si>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</si>
  <si>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</si>
  <si>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</si>
  <si>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</si>
  <si>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</si>
  <si>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</si>
  <si>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</si>
  <si>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</si>
  <si>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</si>
  <si>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</si>
  <si>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</si>
  <si>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</si>
  <si>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</si>
  <si>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</si>
  <si>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</si>
  <si>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</si>
  <si>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</si>
  <si>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</si>
  <si>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</si>
  <si>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</si>
  <si>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</si>
  <si>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</si>
  <si>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</si>
  <si>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</si>
  <si>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</si>
  <si>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</si>
  <si>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</si>
  <si>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</si>
  <si>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</si>
  <si>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</si>
  <si>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</si>
  <si>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</si>
  <si>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</si>
  <si>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</si>
  <si>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</si>
  <si>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</si>
  <si>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</si>
  <si>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</si>
  <si>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</si>
  <si>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</si>
  <si>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</si>
  <si>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</si>
  <si>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</si>
  <si>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</si>
  <si>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</si>
  <si>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</si>
  <si>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</si>
  <si>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</si>
  <si>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</si>
  <si>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</si>
  <si>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</si>
  <si>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</si>
  <si>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</si>
  <si>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</si>
  <si>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</si>
  <si>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</si>
  <si>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</si>
  <si>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</si>
  <si>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</si>
  <si>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</si>
  <si>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</si>
  <si>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</si>
  <si>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</si>
  <si>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</si>
  <si>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</si>
  <si>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</si>
  <si>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</si>
  <si>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</si>
  <si>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</si>
  <si>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</si>
  <si>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</si>
  <si>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</si>
  <si>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</si>
  <si>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</si>
  <si>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</si>
  <si>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</si>
  <si>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</si>
  <si>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</si>
  <si>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</si>
  <si>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</si>
  <si>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</si>
  <si>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</si>
  <si>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</si>
  <si>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</si>
  <si>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</si>
  <si>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</si>
  <si>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</si>
  <si>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</si>
  <si>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</si>
  <si>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</si>
  <si>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</si>
  <si>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</si>
  <si>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</si>
  <si>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</si>
  <si>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</si>
  <si>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</si>
  <si>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</si>
  <si>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</si>
  <si>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</si>
  <si>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</si>
  <si>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</si>
  <si>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</si>
  <si>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</si>
  <si>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</si>
  <si>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</si>
  <si>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</si>
  <si>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</si>
  <si>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</si>
  <si>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</si>
  <si>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</si>
  <si>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</si>
  <si>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</si>
  <si>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</si>
  <si>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</si>
  <si>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</si>
  <si>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</si>
  <si>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</si>
  <si>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</si>
  <si>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</si>
  <si>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</si>
  <si>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</si>
  <si>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</si>
  <si>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</si>
  <si>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</si>
  <si>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</si>
  <si>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</si>
  <si>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</si>
  <si>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</si>
  <si>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</si>
  <si>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</si>
  <si>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</si>
  <si>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</si>
  <si>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</si>
  <si>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</si>
  <si>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</si>
  <si>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</si>
  <si>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</si>
  <si>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</si>
  <si>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</si>
  <si>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</si>
  <si>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</si>
  <si>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</si>
  <si>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</si>
  <si>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</si>
  <si>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</si>
  <si>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</si>
  <si>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</si>
  <si>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</si>
  <si>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</si>
  <si>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</si>
  <si>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</si>
  <si>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</si>
  <si>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</si>
  <si>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</si>
  <si>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</si>
  <si>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</si>
  <si>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</si>
  <si>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</si>
  <si>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</si>
  <si>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</si>
  <si>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</si>
  <si>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</si>
  <si>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</si>
  <si>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</si>
  <si>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</si>
  <si>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</si>
  <si>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</si>
  <si>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</si>
  <si>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</si>
  <si>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</si>
  <si>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</si>
  <si>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</si>
  <si>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</si>
  <si>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</si>
  <si>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</si>
  <si>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</si>
  <si>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</si>
  <si>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</si>
  <si>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</si>
  <si>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</si>
  <si>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</si>
  <si>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</si>
  <si>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</si>
  <si>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</si>
  <si>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</si>
  <si>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</si>
  <si>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</si>
  <si>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</si>
  <si>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</si>
  <si>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</si>
  <si>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</si>
  <si>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</si>
  <si>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</si>
  <si>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</si>
  <si>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</si>
  <si>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</si>
  <si>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</si>
  <si>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</si>
  <si>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</si>
  <si>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</si>
  <si>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</si>
  <si>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</si>
  <si>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</si>
  <si>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</si>
  <si>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</si>
  <si>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</si>
  <si>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</si>
  <si>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</si>
  <si>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</si>
  <si>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</si>
  <si>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</si>
  <si>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</si>
  <si>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</si>
  <si>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</si>
  <si>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</si>
  <si>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</si>
  <si>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</si>
  <si>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</si>
  <si>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</si>
  <si>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</si>
  <si>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</si>
  <si>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</si>
  <si>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</si>
  <si>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</si>
  <si>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</si>
  <si>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</si>
  <si>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</si>
  <si>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</si>
  <si>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</si>
  <si>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</si>
  <si>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</si>
  <si>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</si>
  <si>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</si>
  <si>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</si>
  <si>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</si>
  <si>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</si>
  <si>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</si>
  <si>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</si>
  <si>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</si>
  <si>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</si>
  <si>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</si>
  <si>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</si>
  <si>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</si>
  <si>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</si>
  <si>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</si>
  <si>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</si>
  <si>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</si>
  <si>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</si>
  <si>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</si>
  <si>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</si>
  <si>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</si>
  <si>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</si>
  <si>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</si>
  <si>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</si>
  <si>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</si>
  <si>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</si>
  <si>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</si>
  <si>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</si>
  <si>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</si>
  <si>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</si>
  <si>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</si>
  <si>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</si>
  <si>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</si>
  <si>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</si>
  <si>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</si>
  <si>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</si>
  <si>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</si>
  <si>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</si>
  <si>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</si>
  <si>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</si>
  <si>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</si>
  <si>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</si>
  <si>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</si>
  <si>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</si>
  <si>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</si>
  <si>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</si>
  <si>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</si>
  <si>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</si>
  <si>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</si>
  <si>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</si>
  <si>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</si>
  <si>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</si>
  <si>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</si>
  <si>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</si>
  <si>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</si>
  <si>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</si>
  <si>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</si>
  <si>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</si>
  <si>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</si>
  <si>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</si>
  <si>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</si>
  <si>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</si>
  <si>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</si>
  <si>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</si>
  <si>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</si>
  <si>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</si>
  <si>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</si>
  <si>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</si>
  <si>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</si>
  <si>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</si>
  <si>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</si>
  <si>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</si>
  <si>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</si>
  <si>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</si>
  <si>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</si>
  <si>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</si>
  <si>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</si>
  <si>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</si>
  <si>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</si>
  <si>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</si>
  <si>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</si>
  <si>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</si>
  <si>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</si>
  <si>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</si>
  <si>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</si>
  <si>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</si>
  <si>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</si>
  <si>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</si>
  <si>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</si>
  <si>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</si>
  <si>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</si>
  <si>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</si>
  <si>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</si>
  <si>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</si>
  <si>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</si>
  <si>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</si>
  <si>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</si>
  <si>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</si>
  <si>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</si>
  <si>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</si>
  <si>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</si>
  <si>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</si>
  <si>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</si>
  <si>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</si>
  <si>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</si>
  <si>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</si>
  <si>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</si>
  <si>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</si>
  <si>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</si>
  <si>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</si>
  <si>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</si>
  <si>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</si>
  <si>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</si>
  <si>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</si>
  <si>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</si>
  <si>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</si>
  <si>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</si>
  <si>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</si>
  <si>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</si>
  <si>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</si>
  <si>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</si>
  <si>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</si>
  <si>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</si>
  <si>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</si>
  <si>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</si>
  <si>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</si>
  <si>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</si>
  <si>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</si>
  <si>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</si>
  <si>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</si>
  <si>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</si>
  <si>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</si>
  <si>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</si>
  <si>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</si>
  <si>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</si>
  <si>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</si>
  <si>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</si>
  <si>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</si>
  <si>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</si>
  <si>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</si>
  <si>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</si>
  <si>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</si>
  <si>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</si>
  <si>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</si>
  <si>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</si>
  <si>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</si>
  <si>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</si>
  <si>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</si>
  <si>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</si>
  <si>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</si>
  <si>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</si>
  <si>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</si>
  <si>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</si>
  <si>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</si>
  <si>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</si>
  <si>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</si>
  <si>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</si>
  <si>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</si>
  <si>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</si>
  <si>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</si>
  <si>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</si>
  <si>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</si>
  <si>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</si>
  <si>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</si>
  <si>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</si>
  <si>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</si>
  <si>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</si>
  <si>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</si>
  <si>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</si>
  <si>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</si>
  <si>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</si>
  <si>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</si>
  <si>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</si>
  <si>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</si>
  <si>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</si>
  <si>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</si>
  <si>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</si>
  <si>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</si>
  <si>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</si>
  <si>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</si>
  <si>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</si>
  <si>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</si>
  <si>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</si>
  <si>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</si>
  <si>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</si>
  <si>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</si>
  <si>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</si>
  <si>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</si>
  <si>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</si>
  <si>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</si>
  <si>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</si>
  <si>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</si>
  <si>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</si>
  <si>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</si>
  <si>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</si>
  <si>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</si>
  <si>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</si>
  <si>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</si>
  <si>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</si>
  <si>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</si>
  <si>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</si>
  <si>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</si>
  <si>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</si>
  <si>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</si>
  <si>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</si>
  <si>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</si>
  <si>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</si>
  <si>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</si>
  <si>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</si>
  <si>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</si>
  <si>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</si>
  <si>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</si>
  <si>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</si>
  <si>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</si>
  <si>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</si>
  <si>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</si>
  <si>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</si>
  <si>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</si>
  <si>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</si>
  <si>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</si>
  <si>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</si>
  <si>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</si>
  <si>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</si>
  <si>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</si>
  <si>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</si>
  <si>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</si>
  <si>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</si>
  <si>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</si>
  <si>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</si>
  <si>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d</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</si>
  <si>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</si>
  <si>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</si>
  <si>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</si>
  <si>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</si>
  <si>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</si>
  <si>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</si>
  <si>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</si>
  <si>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</si>
  <si>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</si>
  <si>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</si>
  <si>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</si>
  <si>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</si>
  <si>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</si>
  <si>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</si>
  <si>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</si>
  <si>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</si>
  <si>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</si>
  <si>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</si>
  <si>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</si>
  <si>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</si>
  <si>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</si>
  <si>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</si>
  <si>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</si>
  <si>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</si>
  <si>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</si>
  <si>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</si>
  <si>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</si>
  <si>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</si>
  <si>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</si>
  <si>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</si>
  <si>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</si>
  <si>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</si>
  <si>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</si>
  <si>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</si>
  <si>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</si>
  <si>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</si>
  <si>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</si>
  <si>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</si>
  <si>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</si>
  <si>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</si>
  <si>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</si>
  <si>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peaksaverPLUS</t>
  </si>
  <si>
    <t>Kitchener-Wilmot Hydro Inc.</t>
  </si>
  <si>
    <t>DR</t>
  </si>
  <si>
    <t>Business</t>
  </si>
  <si>
    <t>Commercial &amp; Institutional</t>
  </si>
  <si>
    <t>Commercial Demand Response</t>
  </si>
  <si>
    <t>Commercial</t>
  </si>
  <si>
    <t>EE</t>
  </si>
  <si>
    <t>Non-Tier 1</t>
  </si>
  <si>
    <t>Tier 1 - 2011 Adjustment</t>
  </si>
  <si>
    <t>Commercial Demand Response (part of the Residential program schedule)</t>
  </si>
  <si>
    <t>Demand Response 3 (part of the Industrial program schedule)</t>
  </si>
  <si>
    <t>Industrial</t>
  </si>
  <si>
    <t>Pre-2011 Programs Completed in 2011</t>
  </si>
  <si>
    <t>C&amp;I</t>
  </si>
  <si>
    <t>ERIP</t>
  </si>
  <si>
    <t>HVAC</t>
  </si>
  <si>
    <t>Home Assistance</t>
  </si>
  <si>
    <t>Non-LDC</t>
  </si>
  <si>
    <t>Energy Audit Funding</t>
  </si>
  <si>
    <t>Energy Managers</t>
  </si>
  <si>
    <t>DR-3</t>
  </si>
  <si>
    <t>peaksaverPLUS (IHD)</t>
  </si>
  <si>
    <t>Small Business Lighting</t>
  </si>
  <si>
    <t>Annual Coupons</t>
  </si>
  <si>
    <t>Bi-Annual Retailer Events</t>
  </si>
  <si>
    <t>non-Tier 1</t>
  </si>
  <si>
    <t>Time-of-Use Savings</t>
  </si>
  <si>
    <t xml:space="preserve">Demand Response 3 </t>
  </si>
  <si>
    <t>EnerNOC Pilot Program</t>
  </si>
  <si>
    <t>Loblaw P4P Pilot Program</t>
  </si>
  <si>
    <t>SEG Pilot Program</t>
  </si>
  <si>
    <t>Social Benchmarking Pilot Program</t>
  </si>
  <si>
    <t>Save on Energy Heating &amp; Cooling Program</t>
  </si>
  <si>
    <t>Home Depot Home Appliance Market Uplift Conservation Fund Pilot Program</t>
  </si>
  <si>
    <t>Small &amp; Medium Business Energy Management System LDC Innovation Fund Pilot Program</t>
  </si>
  <si>
    <t>Save on Energy Instant Discount Program</t>
  </si>
  <si>
    <t>LDC Innovatoin Fund Pilot</t>
  </si>
  <si>
    <t>Centrally Delivered</t>
  </si>
  <si>
    <t>Save on Energy Energy Performance Program for Multi-Site Customers</t>
  </si>
  <si>
    <t>Whole Home Pilot Program</t>
  </si>
  <si>
    <t>Non-Residential Province-Wide</t>
  </si>
  <si>
    <t>Save on Energy Business Refrigeration Program</t>
  </si>
  <si>
    <t>Local LDC Program</t>
  </si>
  <si>
    <t>Swimming Pool Efficiency Program</t>
  </si>
  <si>
    <t>Current year Savings</t>
  </si>
  <si>
    <t>Save on Energy Instant Discount</t>
  </si>
  <si>
    <t xml:space="preserve">Adjustment to 2017 savings  </t>
  </si>
  <si>
    <t>Streetlighting</t>
  </si>
  <si>
    <t>UnVerified</t>
  </si>
  <si>
    <t>Kitchener-Wilmot Hydro inc.</t>
  </si>
  <si>
    <t>EB-2019-0049</t>
  </si>
  <si>
    <t>2020 COS Application</t>
  </si>
  <si>
    <t>2015-2016</t>
  </si>
  <si>
    <t>2017-2018</t>
  </si>
  <si>
    <t>EB-2009-0267</t>
  </si>
  <si>
    <t>EB-2010-0094</t>
  </si>
  <si>
    <t>2011-0179</t>
  </si>
  <si>
    <t>EB-2012-0143</t>
  </si>
  <si>
    <t>EB-2013-0147</t>
  </si>
  <si>
    <t>EB-2014-0089</t>
  </si>
  <si>
    <t>EB-2015-0084</t>
  </si>
  <si>
    <t>EB-2016-0088</t>
  </si>
  <si>
    <t>EB-2017-0056</t>
  </si>
  <si>
    <t>EB-2018-0048</t>
  </si>
  <si>
    <t>2014 Balance</t>
  </si>
  <si>
    <t>2014 Settlement Agreement, p. 25 Settlement Table #3e</t>
  </si>
  <si>
    <t xml:space="preserve">Insert row for Save on Energy Instant Discount </t>
  </si>
  <si>
    <t xml:space="preserve">No row for Save on Energy Instant Discount </t>
  </si>
  <si>
    <t>No row for Whole Home Pilot Program</t>
  </si>
  <si>
    <t>No row for Save on Energy Energy Performance Program for Multi-Site Customers</t>
  </si>
  <si>
    <t xml:space="preserve">No row for Small &amp; Medium Business Energy Management System LDC Innovation Fund. </t>
  </si>
  <si>
    <t>Persistence data based on % in P&amp;C Reference Table X 2018 YTD Net Energy Savings</t>
  </si>
  <si>
    <t>Assumed 100% Persistence for Yr. 2 - Yr. 6</t>
  </si>
  <si>
    <t>Persistence % for this program not provided on Reference Table.</t>
  </si>
  <si>
    <t>To provide tranparency on determination of kWh's.</t>
  </si>
  <si>
    <t>Remove persistence from 2011 program in 2017 and 2018</t>
  </si>
  <si>
    <t>Remove persistence from 2012 program in 2017 and 2018</t>
  </si>
  <si>
    <t>Interrogatory 9-Staff-71 (2020 COS)</t>
  </si>
  <si>
    <t>Programs</t>
  </si>
  <si>
    <t>General 
Service 
&lt;50 kW</t>
  </si>
  <si>
    <t>General
 Service 
&gt;50</t>
  </si>
  <si>
    <t>2015-2020 LRAM</t>
  </si>
  <si>
    <t>HVAC Incentives Initaitive</t>
  </si>
  <si>
    <t xml:space="preserve">Save on Energy Coupon Program </t>
  </si>
  <si>
    <t xml:space="preserve"> Save on Energy Instant Discount Program</t>
  </si>
  <si>
    <t>Save on Energy Whole Home Program</t>
  </si>
  <si>
    <t>Save on Energy Energy Performance Program</t>
  </si>
  <si>
    <t>Local LDC Programs</t>
  </si>
  <si>
    <t>0 Pending Peak Demand</t>
  </si>
  <si>
    <t>Details of Project #1 (December, 2017)</t>
  </si>
  <si>
    <t>Cobra Head</t>
  </si>
  <si>
    <t>Green Cobra</t>
  </si>
  <si>
    <t>Persistence in 2018</t>
  </si>
  <si>
    <t>Persistence in 2019</t>
  </si>
  <si>
    <t>Persistence in 2020</t>
  </si>
  <si>
    <t>Table 8-a:  Kitchener-Wilmot Hydro Inc.</t>
  </si>
  <si>
    <t>Details of Project #2 (December, 2017)</t>
  </si>
  <si>
    <t>Details of Project #3 (December, 2017)</t>
  </si>
  <si>
    <t>Cumulative Gross kW reduction</t>
  </si>
  <si>
    <t>Billing Wattage (W)</t>
  </si>
  <si>
    <t>GreenCobra</t>
  </si>
  <si>
    <t>City of Kitchener</t>
  </si>
  <si>
    <t>Township of Wilmot</t>
  </si>
  <si>
    <t>Region of Waterloo</t>
  </si>
  <si>
    <t>First Year 2017</t>
  </si>
  <si>
    <t xml:space="preserve">Table 8-a:  Kitchener-Wilmot Hydro Inc. </t>
  </si>
  <si>
    <t>Net  Savings after applying Net to Gross Ratio of 90%</t>
  </si>
  <si>
    <t xml:space="preserve"> Consolidated_Cumulative</t>
  </si>
  <si>
    <t>Save on Energy Retrofit Program - remove Streetlight project</t>
  </si>
  <si>
    <t>Streetlighting Upgrade kWh</t>
  </si>
  <si>
    <t>Streetlighting Upgrade kW</t>
  </si>
  <si>
    <t>Streetlighting kW</t>
  </si>
  <si>
    <t>GS&gt; 50 kW</t>
  </si>
  <si>
    <t>EB-2020-0035</t>
  </si>
  <si>
    <t>2021 IRM Application</t>
  </si>
  <si>
    <r>
      <rPr>
        <sz val="12"/>
        <rFont val="Arial"/>
        <family val="2"/>
      </rPr>
      <t xml:space="preserve">First Nation Conservation Local Program. </t>
    </r>
    <r>
      <rPr>
        <strike/>
        <sz val="12"/>
        <rFont val="Arial"/>
        <family val="2"/>
      </rPr>
      <t xml:space="preserve"> 
</t>
    </r>
  </si>
  <si>
    <t xml:space="preserve">Centrally Delivered -Whole Home Pilot Program.
</t>
  </si>
  <si>
    <t xml:space="preserve">Social Benchmarking Local Program
</t>
  </si>
  <si>
    <t xml:space="preserve">Save on Energy Energy Performance Program for Multi-Site Customers.
</t>
  </si>
  <si>
    <r>
      <t>Niagara-on-the-Lake Hydro Inc. - Direct Install Energy Efficiency Measures for the Agricultural Sector.</t>
    </r>
    <r>
      <rPr>
        <sz val="12"/>
        <color rgb="FFFF0000"/>
        <rFont val="Arial"/>
        <family val="2"/>
      </rPr>
      <t xml:space="preserve"> 
</t>
    </r>
  </si>
  <si>
    <t>KWHI Pilot Small &amp; Medium Business Energy Management System LDC Innovation Fund.</t>
  </si>
  <si>
    <t xml:space="preserve">Oakville Hydro Electricity Distribution Inc. - Direct Install - Hydronic
</t>
  </si>
  <si>
    <t>KWHI Swimming Pool Efficiency Program</t>
  </si>
  <si>
    <t>Centrally Delivered Programs</t>
  </si>
  <si>
    <t>Save on Energy Energy Performance Program for Multisite customers</t>
  </si>
  <si>
    <t xml:space="preserve">Summary of Project #1: City of Kitchener </t>
  </si>
  <si>
    <t xml:space="preserve">Summary of Project #2: Township of Wilmot </t>
  </si>
  <si>
    <t xml:space="preserve">Summary of Project #3: Region of Waterloo </t>
  </si>
  <si>
    <t>B486 and B683</t>
  </si>
  <si>
    <t>Insert row for Centrally Delivered - Whole Home Pilot Program</t>
  </si>
  <si>
    <t>B526</t>
  </si>
  <si>
    <t>Insert row for Centrally Delivered - Save on Energy Energy Performance Program for Multi-Site Customers</t>
  </si>
  <si>
    <t>B529</t>
  </si>
  <si>
    <t>B575</t>
  </si>
  <si>
    <t>Insert row for KWHI Pilot - Small &amp; Medium Business Energy Management System LDC Innovation Fund</t>
  </si>
  <si>
    <t>B764</t>
  </si>
  <si>
    <t>Insert row for KWHI Swimming Pool Efficiency Program</t>
  </si>
  <si>
    <t>Line 582 &amp; 583</t>
  </si>
  <si>
    <t>Line 771 &amp; 772</t>
  </si>
  <si>
    <t>e = c * d</t>
  </si>
  <si>
    <t>f</t>
  </si>
  <si>
    <t>g</t>
  </si>
  <si>
    <r>
      <t xml:space="preserve">f </t>
    </r>
    <r>
      <rPr>
        <b/>
        <vertAlign val="subscript"/>
        <sz val="11"/>
        <color theme="0"/>
        <rFont val="Calibri"/>
        <family val="2"/>
        <scheme val="minor"/>
      </rPr>
      <t>1</t>
    </r>
  </si>
  <si>
    <r>
      <t xml:space="preserve">g </t>
    </r>
    <r>
      <rPr>
        <b/>
        <vertAlign val="subscript"/>
        <sz val="11"/>
        <color theme="0"/>
        <rFont val="Calibri"/>
        <family val="2"/>
        <scheme val="minor"/>
      </rPr>
      <t>1</t>
    </r>
  </si>
  <si>
    <t>f * g /1000</t>
  </si>
  <si>
    <r>
      <t xml:space="preserve">f </t>
    </r>
    <r>
      <rPr>
        <b/>
        <vertAlign val="subscript"/>
        <sz val="11"/>
        <color theme="0"/>
        <rFont val="Calibri"/>
        <family val="2"/>
        <scheme val="minor"/>
      </rPr>
      <t>1</t>
    </r>
    <r>
      <rPr>
        <b/>
        <sz val="11"/>
        <color theme="0"/>
        <rFont val="Calibri"/>
        <family val="2"/>
        <scheme val="minor"/>
      </rPr>
      <t xml:space="preserve"> * g </t>
    </r>
    <r>
      <rPr>
        <b/>
        <vertAlign val="subscript"/>
        <sz val="11"/>
        <color theme="0"/>
        <rFont val="Calibri"/>
        <family val="2"/>
        <scheme val="minor"/>
      </rPr>
      <t>1</t>
    </r>
    <r>
      <rPr>
        <b/>
        <sz val="11"/>
        <color theme="0"/>
        <rFont val="Calibri"/>
        <family val="2"/>
        <scheme val="minor"/>
      </rPr>
      <t xml:space="preserve"> / 1000</t>
    </r>
  </si>
  <si>
    <t xml:space="preserve">AY215 to BC222 </t>
  </si>
  <si>
    <t xml:space="preserve">AY220 to BC220 </t>
  </si>
  <si>
    <t xml:space="preserve">AY222 to BC222 </t>
  </si>
  <si>
    <t>KWHI Street Lights - Detailed Calculation of Change in Billed Demand</t>
  </si>
  <si>
    <t xml:space="preserve">(A) </t>
  </si>
  <si>
    <t>(B) *</t>
  </si>
  <si>
    <t>(A) - (B)</t>
  </si>
  <si>
    <t>Daily Avg Operating Hrs</t>
  </si>
  <si>
    <t># Bulbs x Wattage</t>
  </si>
  <si>
    <t>Post Conversion</t>
  </si>
  <si>
    <t>Reduction</t>
  </si>
  <si>
    <t>Avg # Days in First Month</t>
  </si>
  <si>
    <r>
      <t>*</t>
    </r>
    <r>
      <rPr>
        <b/>
        <sz val="11"/>
        <color theme="1"/>
        <rFont val="Calibri"/>
        <family val="2"/>
      </rPr>
      <t xml:space="preserve"> Post Conversion Calculation</t>
    </r>
  </si>
  <si>
    <t># Days / Month</t>
  </si>
  <si>
    <t>Fixture Type and Watts</t>
  </si>
  <si>
    <t>Number of Bulbs</t>
  </si>
  <si>
    <t>Watts Removed</t>
  </si>
  <si>
    <t>Watts Installed</t>
  </si>
  <si>
    <t>Watts Reduced</t>
  </si>
  <si>
    <t xml:space="preserve"> Watts</t>
  </si>
  <si>
    <t>Net kW Reduction</t>
  </si>
  <si>
    <t>Aug</t>
  </si>
  <si>
    <t>Sept</t>
  </si>
  <si>
    <t>Oct</t>
  </si>
  <si>
    <t>Nov</t>
  </si>
  <si>
    <t>Dec</t>
  </si>
  <si>
    <t>First Year 
kWh</t>
  </si>
  <si>
    <t>Full Year
Persistence</t>
  </si>
  <si>
    <t>COBRA HEADS</t>
  </si>
  <si>
    <t>COBRA</t>
  </si>
  <si>
    <t>Jun-17 Total</t>
  </si>
  <si>
    <t>Jul-17 Total</t>
  </si>
  <si>
    <t>Aug-17 Total</t>
  </si>
  <si>
    <t>Sep-17 Total</t>
  </si>
  <si>
    <t>Oct-17 Total</t>
  </si>
  <si>
    <t>Nov-17 Total</t>
  </si>
  <si>
    <t>Grand Total</t>
  </si>
  <si>
    <t>June</t>
  </si>
  <si>
    <t>Jul</t>
  </si>
  <si>
    <t>Grand Total 2017</t>
  </si>
  <si>
    <t>#</t>
  </si>
  <si>
    <t>Dec 17 Total</t>
  </si>
  <si>
    <t>kW reduced 
(column E /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</si>
</sst>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 #,##0.000000000_);_(* \(#,##0.000000000\);_(* &quot;-&quot;?????????_);_(@_)"/>
    <numFmt numFmtId="290" formatCode="_(* #,##0.00000000_);_(* \(#,##0.00000000\);_(* &quot;-&quot;????????_);_(@_)"/>
  </numFmts>
  <fonts count="27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trike/>
      <sz val="12"/>
      <name val="Arial"/>
      <family val="2"/>
    </font>
    <font>
      <b/>
      <sz val="11"/>
      <color theme="9" tint="-0.249977111117893"/>
      <name val="Arial"/>
      <family val="2"/>
    </font>
    <font>
      <b/>
      <sz val="11"/>
      <color rgb="FF0070C0"/>
      <name val="Calibri"/>
      <family val="2"/>
      <scheme val="minor"/>
    </font>
    <font>
      <b/>
      <u/>
      <sz val="12"/>
      <color theme="1"/>
      <name val="Calibri"/>
      <family val="2"/>
      <scheme val="minor"/>
    </font>
    <font>
      <b/>
      <sz val="16"/>
      <color rgb="FF0033CC"/>
      <name val="Calibri"/>
      <family val="2"/>
      <scheme val="minor"/>
    </font>
    <font>
      <b/>
      <sz val="11"/>
      <color rgb="FFFF0000"/>
      <name val="Calibri"/>
      <family val="2"/>
      <scheme val="minor"/>
    </font>
    <font>
      <sz val="10"/>
      <color rgb="FFC00000"/>
      <name val="Calibri"/>
      <family val="2"/>
      <scheme val="minor"/>
    </font>
    <font>
      <sz val="10"/>
      <color rgb="FF3333FF"/>
      <name val="Calibri"/>
      <family val="2"/>
      <scheme val="minor"/>
    </font>
    <font>
      <b/>
      <sz val="14"/>
      <color theme="0"/>
      <name val="Calibri"/>
      <family val="2"/>
      <scheme val="minor"/>
    </font>
    <font>
      <b/>
      <sz val="11"/>
      <color theme="0"/>
      <name val="Calibri"/>
      <family val="2"/>
    </font>
    <font>
      <b/>
      <u/>
      <sz val="12"/>
      <color theme="0"/>
      <name val="Arial"/>
      <family val="2"/>
    </font>
    <font>
      <b/>
      <sz val="12"/>
      <name val="Calibri"/>
      <family val="2"/>
    </font>
    <font>
      <sz val="11"/>
      <color rgb="FFC00000"/>
      <name val="Calibri"/>
      <family val="2"/>
    </font>
    <font>
      <b/>
      <sz val="11"/>
      <name val="Calibri"/>
      <family val="2"/>
    </font>
    <font>
      <b/>
      <i/>
      <sz val="11"/>
      <color rgb="FF3333FF"/>
      <name val="Calibri"/>
      <family val="2"/>
    </font>
    <font>
      <b/>
      <sz val="11"/>
      <color rgb="FF3333FF"/>
      <name val="Calibri"/>
      <family val="2"/>
      <scheme val="minor"/>
    </font>
    <font>
      <b/>
      <sz val="14"/>
      <name val="Calibri"/>
      <family val="2"/>
    </font>
    <font>
      <sz val="11"/>
      <color rgb="FF3333FF"/>
      <name val="Calibri"/>
      <family val="2"/>
    </font>
    <font>
      <i/>
      <sz val="11"/>
      <color rgb="FF3333FF"/>
      <name val="Calibri"/>
      <family val="2"/>
    </font>
    <font>
      <sz val="14"/>
      <name val="Calibri"/>
      <family val="2"/>
    </font>
    <font>
      <b/>
      <sz val="11"/>
      <color theme="1"/>
      <name val="Calibri"/>
      <family val="2"/>
    </font>
    <font>
      <sz val="11"/>
      <color theme="1"/>
      <name val="Calibri"/>
      <family val="2"/>
    </font>
    <font>
      <sz val="11"/>
      <color rgb="FFC00000"/>
      <name val="Calibri"/>
      <family val="2"/>
      <scheme val="minor"/>
    </font>
    <font>
      <b/>
      <sz val="11"/>
      <color theme="0" tint="-0.499984740745262"/>
      <name val="Calibri"/>
      <family val="2"/>
    </font>
    <font>
      <sz val="11"/>
      <color theme="0" tint="-0.499984740745262"/>
      <name val="Calibri"/>
      <family val="2"/>
    </font>
    <font>
      <b/>
      <sz val="11"/>
      <color rgb="FF3333FF"/>
      <name val="Calibri"/>
      <family val="2"/>
    </font>
    <font>
      <sz val="11"/>
      <color theme="0"/>
      <name val="Calibri"/>
      <family val="2"/>
    </font>
    <font>
      <sz val="11"/>
      <color rgb="FF3333FF"/>
      <name val="Calibri"/>
      <family val="2"/>
      <scheme val="minor"/>
    </font>
    <font>
      <b/>
      <sz val="11"/>
      <color rgb="FFC00000"/>
      <name val="Calibri"/>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20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01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96"/>
    <xf numFmtId="165" fontId="193" fillId="0" borderId="191" applyFill="0" applyAlignment="0" applyProtection="0"/>
    <xf numFmtId="39" fontId="12" fillId="0" borderId="191">
      <protection locked="0"/>
    </xf>
    <xf numFmtId="171" fontId="85" fillId="0" borderId="166"/>
    <xf numFmtId="165" fontId="193" fillId="0" borderId="161" applyFill="0" applyAlignment="0" applyProtection="0"/>
    <xf numFmtId="39" fontId="12" fillId="0" borderId="161">
      <protection locked="0"/>
    </xf>
    <xf numFmtId="241" fontId="194" fillId="86" borderId="195" applyNumberFormat="0" applyBorder="0" applyAlignment="0" applyProtection="0">
      <alignment vertical="center"/>
    </xf>
    <xf numFmtId="241" fontId="194" fillId="86" borderId="165" applyNumberFormat="0" applyBorder="0" applyAlignment="0" applyProtection="0">
      <alignmen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83" applyNumberFormat="0" applyProtection="0">
      <alignment horizontal="left" vertical="center" wrapText="1"/>
    </xf>
    <xf numFmtId="0" fontId="12" fillId="25" borderId="183" applyNumberFormat="0" applyProtection="0">
      <alignment horizontal="left" vertical="center" wrapText="1"/>
    </xf>
    <xf numFmtId="0" fontId="11" fillId="60" borderId="158" applyNumberFormat="0" applyProtection="0">
      <alignment horizontal="left" vertical="center" wrapText="1"/>
    </xf>
    <xf numFmtId="257" fontId="11" fillId="82" borderId="183" applyNumberFormat="0" applyProtection="0">
      <alignment horizontal="center"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83" fillId="81" borderId="158" applyNumberFormat="0" applyProtection="0">
      <alignment horizontal="center" vertical="center"/>
    </xf>
    <xf numFmtId="0" fontId="11" fillId="60" borderId="183" applyNumberFormat="0" applyProtection="0">
      <alignment horizontal="left" vertical="center" wrapText="1"/>
    </xf>
    <xf numFmtId="0" fontId="11" fillId="81" borderId="183" applyNumberFormat="0" applyProtection="0">
      <alignment horizontal="center" vertical="center" wrapText="1"/>
    </xf>
    <xf numFmtId="0" fontId="11" fillId="81" borderId="183" applyNumberFormat="0" applyProtection="0">
      <alignment horizontal="center" vertical="center"/>
    </xf>
    <xf numFmtId="0" fontId="11" fillId="81" borderId="183" applyNumberFormat="0" applyProtection="0">
      <alignment horizontal="center" vertical="center" wrapText="1"/>
    </xf>
    <xf numFmtId="0" fontId="183" fillId="81" borderId="183" applyNumberFormat="0" applyProtection="0">
      <alignment horizontal="center" vertical="center"/>
    </xf>
    <xf numFmtId="0" fontId="177" fillId="67" borderId="158">
      <alignment horizontal="center" vertical="center" wrapText="1"/>
      <protection hidden="1"/>
    </xf>
    <xf numFmtId="0" fontId="177" fillId="67" borderId="183">
      <alignment horizontal="center" vertical="center" wrapText="1"/>
      <protection hidden="1"/>
    </xf>
    <xf numFmtId="264" fontId="172" fillId="65" borderId="158" applyFill="0" applyBorder="0" applyAlignment="0" applyProtection="0">
      <alignment horizontal="right"/>
      <protection locked="0"/>
    </xf>
    <xf numFmtId="264" fontId="172" fillId="65" borderId="183" applyFill="0" applyBorder="0" applyAlignment="0" applyProtection="0">
      <alignment horizontal="right"/>
      <protection locked="0"/>
    </xf>
    <xf numFmtId="0" fontId="12" fillId="60" borderId="125" applyNumberFormat="0">
      <alignment horizontal="centerContinuous" vertical="center" wrapText="1"/>
    </xf>
    <xf numFmtId="0" fontId="12" fillId="61" borderId="125" applyNumberFormat="0">
      <alignment horizontal="left" vertical="center"/>
    </xf>
    <xf numFmtId="260" fontId="164" fillId="0" borderId="180" applyBorder="0"/>
    <xf numFmtId="208" fontId="90" fillId="63" borderId="15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54">
      <protection locked="0"/>
    </xf>
    <xf numFmtId="171" fontId="85" fillId="0" borderId="171"/>
    <xf numFmtId="241" fontId="194" fillId="86" borderId="170" applyNumberFormat="0" applyBorder="0" applyAlignment="0" applyProtection="0">
      <alignment vertical="center"/>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0" fontId="147" fillId="73" borderId="194">
      <alignment horizontal="left" vertical="center" wrapText="1"/>
    </xf>
    <xf numFmtId="166" fontId="113" fillId="0" borderId="193">
      <protection locked="0"/>
    </xf>
    <xf numFmtId="208" fontId="90" fillId="63" borderId="192"/>
    <xf numFmtId="10" fontId="108" fillId="65" borderId="110" applyNumberFormat="0" applyBorder="0" applyAlignment="0" applyProtection="0"/>
    <xf numFmtId="0" fontId="147" fillId="73" borderId="155">
      <alignment horizontal="left" vertical="center" wrapText="1"/>
    </xf>
    <xf numFmtId="0" fontId="12" fillId="0" borderId="110"/>
    <xf numFmtId="0" fontId="47" fillId="0" borderId="180">
      <alignment horizontal="left" vertical="center"/>
    </xf>
    <xf numFmtId="208" fontId="90" fillId="63" borderId="167"/>
    <xf numFmtId="166" fontId="113" fillId="0" borderId="168">
      <protection locked="0"/>
    </xf>
    <xf numFmtId="0" fontId="147" fillId="73" borderId="169">
      <alignment horizontal="left" vertical="center" wrapText="1"/>
    </xf>
    <xf numFmtId="1" fontId="121" fillId="69" borderId="181" applyNumberFormat="0" applyBorder="0" applyAlignment="0">
      <alignment horizontal="centerContinuous" vertical="center"/>
      <protection locked="0"/>
    </xf>
    <xf numFmtId="0" fontId="25" fillId="8" borderId="176" applyNumberFormat="0" applyAlignment="0" applyProtection="0"/>
    <xf numFmtId="241" fontId="194" fillId="86" borderId="195" applyNumberFormat="0" applyBorder="0" applyAlignment="0" applyProtection="0">
      <alignment vertical="center"/>
    </xf>
    <xf numFmtId="171" fontId="85" fillId="0" borderId="196"/>
    <xf numFmtId="0" fontId="12" fillId="24" borderId="177" applyNumberFormat="0" applyFont="0" applyAlignment="0" applyProtection="0"/>
    <xf numFmtId="0" fontId="17" fillId="21" borderId="176" applyNumberFormat="0" applyAlignment="0" applyProtection="0"/>
    <xf numFmtId="0" fontId="83" fillId="0" borderId="182" applyNumberFormat="0" applyFont="0" applyFill="0" applyAlignment="0" applyProtection="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0" fontId="12" fillId="61" borderId="176" applyNumberFormat="0">
      <alignment horizontal="left" vertical="center"/>
    </xf>
    <xf numFmtId="0" fontId="12" fillId="60" borderId="176" applyNumberFormat="0">
      <alignment horizontal="centerContinuous" vertical="center" wrapText="1"/>
    </xf>
    <xf numFmtId="241" fontId="194" fillId="86" borderId="156" applyNumberFormat="0" applyBorder="0" applyAlignment="0" applyProtection="0">
      <alignment vertical="center"/>
    </xf>
    <xf numFmtId="260" fontId="164" fillId="0" borderId="188" applyBorder="0"/>
    <xf numFmtId="260" fontId="164" fillId="0" borderId="160" applyBorder="0"/>
    <xf numFmtId="0" fontId="147" fillId="73" borderId="164">
      <alignment horizontal="left" vertical="center" wrapText="1"/>
    </xf>
    <xf numFmtId="166" fontId="113" fillId="0" borderId="163">
      <protection locked="0"/>
    </xf>
    <xf numFmtId="208" fontId="90" fillId="63" borderId="162"/>
    <xf numFmtId="0" fontId="147" fillId="73" borderId="155">
      <alignment horizontal="left" vertical="center" wrapText="1"/>
    </xf>
    <xf numFmtId="166" fontId="113" fillId="0" borderId="154">
      <protection locked="0"/>
    </xf>
    <xf numFmtId="208" fontId="90" fillId="63" borderId="153"/>
    <xf numFmtId="0" fontId="12" fillId="0" borderId="183"/>
    <xf numFmtId="0" fontId="12" fillId="0" borderId="158"/>
    <xf numFmtId="0" fontId="147" fillId="73" borderId="194">
      <alignment horizontal="left" vertical="center" wrapText="1"/>
    </xf>
    <xf numFmtId="10" fontId="108" fillId="65" borderId="183" applyNumberFormat="0" applyBorder="0" applyAlignment="0" applyProtection="0"/>
    <xf numFmtId="0" fontId="147" fillId="73" borderId="164">
      <alignment horizontal="left" vertical="center" wrapText="1"/>
    </xf>
    <xf numFmtId="10" fontId="108" fillId="65" borderId="158" applyNumberFormat="0" applyBorder="0" applyAlignment="0" applyProtection="0"/>
    <xf numFmtId="0" fontId="47" fillId="0" borderId="188">
      <alignment horizontal="left" vertical="center"/>
    </xf>
    <xf numFmtId="237" fontId="12" fillId="71" borderId="183" applyNumberFormat="0" applyFont="0" applyBorder="0" applyAlignment="0" applyProtection="0"/>
    <xf numFmtId="1" fontId="121" fillId="69" borderId="189" applyNumberFormat="0" applyBorder="0" applyAlignment="0">
      <alignment horizontal="centerContinuous" vertical="center"/>
      <protection locked="0"/>
    </xf>
    <xf numFmtId="0" fontId="25" fillId="8" borderId="184" applyNumberFormat="0" applyAlignment="0" applyProtection="0"/>
    <xf numFmtId="0" fontId="47" fillId="0" borderId="160">
      <alignment horizontal="left" vertical="center"/>
    </xf>
    <xf numFmtId="237" fontId="12" fillId="71" borderId="158" applyNumberFormat="0" applyFont="0" applyBorder="0" applyAlignment="0" applyProtection="0"/>
    <xf numFmtId="1" fontId="121" fillId="69" borderId="159" applyNumberFormat="0" applyBorder="0" applyAlignment="0">
      <alignment horizontal="centerContinuous" vertical="center"/>
      <protection locked="0"/>
    </xf>
    <xf numFmtId="241" fontId="194" fillId="86" borderId="165" applyNumberFormat="0" applyBorder="0" applyAlignment="0" applyProtection="0">
      <alignment vertical="center"/>
    </xf>
    <xf numFmtId="171" fontId="85" fillId="0" borderId="166"/>
    <xf numFmtId="166" fontId="113" fillId="0" borderId="193">
      <protection locked="0"/>
    </xf>
    <xf numFmtId="0" fontId="12" fillId="24" borderId="185" applyNumberFormat="0" applyFont="0" applyAlignment="0" applyProtection="0"/>
    <xf numFmtId="166" fontId="113" fillId="0" borderId="163">
      <protection locked="0"/>
    </xf>
    <xf numFmtId="0" fontId="17" fillId="21" borderId="184" applyNumberFormat="0" applyAlignment="0" applyProtection="0"/>
    <xf numFmtId="0" fontId="83" fillId="0" borderId="190" applyNumberFormat="0" applyFont="0" applyFill="0" applyAlignment="0" applyProtection="0"/>
    <xf numFmtId="208" fontId="90" fillId="63" borderId="192"/>
    <xf numFmtId="0" fontId="83" fillId="0" borderId="157" applyNumberFormat="0" applyFont="0" applyFill="0" applyAlignment="0" applyProtection="0"/>
    <xf numFmtId="167" fontId="87" fillId="0" borderId="191" applyFont="0"/>
    <xf numFmtId="208" fontId="90" fillId="63" borderId="162"/>
    <xf numFmtId="167" fontId="87" fillId="0" borderId="161" applyFont="0"/>
    <xf numFmtId="241" fontId="194" fillId="86" borderId="156" applyNumberFormat="0" applyBorder="0" applyAlignment="0" applyProtection="0">
      <alignment vertical="center"/>
    </xf>
    <xf numFmtId="0" fontId="12" fillId="61" borderId="184" applyNumberFormat="0">
      <alignment horizontal="left" vertical="center"/>
    </xf>
    <xf numFmtId="0" fontId="12" fillId="60" borderId="184" applyNumberFormat="0">
      <alignment horizontal="centerContinuous" vertical="center" wrapText="1"/>
    </xf>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39" fillId="0" borderId="0"/>
    <xf numFmtId="43" fontId="39" fillId="0" borderId="0" applyFont="0" applyFill="0" applyBorder="0" applyAlignment="0" applyProtection="0"/>
  </cellStyleXfs>
  <cellXfs count="128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22" xfId="0" applyFill="1" applyBorder="1" applyAlignment="1">
      <alignment horizontal="left"/>
    </xf>
    <xf numFmtId="0" fontId="0" fillId="28" borderId="134" xfId="0" applyFill="1" applyBorder="1" applyAlignment="1">
      <alignment horizontal="left"/>
    </xf>
    <xf numFmtId="0" fontId="0" fillId="28" borderId="110" xfId="0" applyFill="1" applyBorder="1" applyAlignment="1">
      <alignment vertical="top"/>
    </xf>
    <xf numFmtId="0" fontId="0" fillId="90" borderId="110" xfId="0" applyFill="1" applyBorder="1" applyAlignment="1">
      <alignment wrapText="1"/>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7" fillId="28" borderId="35" xfId="0" applyNumberFormat="1" applyFont="1" applyFill="1" applyBorder="1" applyAlignment="1">
      <alignment vertical="top"/>
    </xf>
    <xf numFmtId="3" fontId="45"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vertical="center"/>
      <protection locked="0"/>
    </xf>
    <xf numFmtId="3" fontId="8"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left" vertical="center"/>
      <protection locked="0"/>
    </xf>
    <xf numFmtId="0" fontId="232" fillId="0" borderId="0" xfId="0" applyFont="1" applyFill="1" applyAlignment="1" applyProtection="1">
      <alignment horizontal="center" vertical="center"/>
      <protection locked="0"/>
    </xf>
    <xf numFmtId="3" fontId="91" fillId="0" borderId="89" xfId="0" applyNumberFormat="1" applyFont="1" applyFill="1" applyBorder="1" applyAlignment="1" applyProtection="1">
      <alignment vertical="center"/>
      <protection locked="0"/>
    </xf>
    <xf numFmtId="3" fontId="45" fillId="0" borderId="0" xfId="0" applyNumberFormat="1" applyFont="1" applyFill="1" applyBorder="1" applyAlignment="1" applyProtection="1">
      <alignment horizontal="center" vertical="center"/>
      <protection locked="0"/>
    </xf>
    <xf numFmtId="10" fontId="210" fillId="0" borderId="0" xfId="0" applyNumberFormat="1" applyFont="1" applyFill="1" applyBorder="1" applyAlignment="1" applyProtection="1">
      <alignment horizontal="center" vertical="center"/>
    </xf>
    <xf numFmtId="9" fontId="41" fillId="0" borderId="12" xfId="0" applyNumberFormat="1" applyFont="1" applyFill="1" applyBorder="1" applyAlignment="1" applyProtection="1">
      <alignment horizontal="center" vertical="center"/>
      <protection locked="0"/>
    </xf>
    <xf numFmtId="0" fontId="0" fillId="0" borderId="0" xfId="0" applyFill="1" applyProtection="1">
      <protection locked="0"/>
    </xf>
    <xf numFmtId="10" fontId="34" fillId="28"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3" fontId="41" fillId="28" borderId="35" xfId="0" applyNumberFormat="1" applyFont="1" applyFill="1" applyBorder="1" applyAlignment="1" applyProtection="1">
      <alignment horizontal="center" vertical="center"/>
      <protection locked="0"/>
    </xf>
    <xf numFmtId="3" fontId="91" fillId="2" borderId="0" xfId="0" applyNumberFormat="1" applyFont="1" applyFill="1" applyAlignment="1" applyProtection="1">
      <alignment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0" fontId="232" fillId="0" borderId="12" xfId="0" applyFont="1" applyFill="1" applyBorder="1" applyAlignment="1" applyProtection="1">
      <alignment horizontal="center" vertical="center"/>
      <protection locked="0"/>
    </xf>
    <xf numFmtId="3" fontId="45" fillId="0" borderId="0" xfId="0" applyNumberFormat="1" applyFont="1" applyFill="1" applyAlignment="1" applyProtection="1">
      <alignment horizontal="center" vertical="center"/>
      <protection locked="0"/>
    </xf>
    <xf numFmtId="10" fontId="210" fillId="0" borderId="0" xfId="0" applyNumberFormat="1" applyFont="1" applyFill="1" applyAlignment="1">
      <alignment horizontal="center" vertical="center"/>
    </xf>
    <xf numFmtId="0" fontId="91" fillId="2" borderId="0" xfId="0" applyFont="1" applyFill="1" applyAlignment="1" applyProtection="1">
      <alignment vertical="top" wrapText="1"/>
      <protection locked="0"/>
    </xf>
    <xf numFmtId="3" fontId="8" fillId="2" borderId="0" xfId="0" applyNumberFormat="1" applyFont="1" applyFill="1" applyAlignment="1" applyProtection="1">
      <alignment vertical="center" wrapText="1"/>
      <protection locked="0"/>
    </xf>
    <xf numFmtId="3" fontId="41" fillId="28" borderId="35" xfId="0" applyNumberFormat="1" applyFont="1" applyFill="1" applyBorder="1" applyAlignment="1" applyProtection="1">
      <alignment horizontal="center" vertical="center" wrapText="1"/>
      <protection locked="0"/>
    </xf>
    <xf numFmtId="3" fontId="45" fillId="28" borderId="35" xfId="0" applyNumberFormat="1" applyFont="1" applyFill="1" applyBorder="1" applyAlignment="1" applyProtection="1">
      <alignment horizontal="center" vertical="center" wrapText="1"/>
      <protection locked="0"/>
    </xf>
    <xf numFmtId="3" fontId="247" fillId="2" borderId="0" xfId="0" applyNumberFormat="1" applyFont="1" applyFill="1" applyAlignment="1" applyProtection="1">
      <alignment horizontal="center" vertical="center"/>
      <protection locked="0"/>
    </xf>
    <xf numFmtId="3" fontId="45" fillId="0" borderId="0" xfId="0" applyNumberFormat="1" applyFont="1" applyAlignment="1" applyProtection="1">
      <alignment horizontal="center" vertical="center"/>
      <protection locked="0"/>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173" fontId="45" fillId="94" borderId="0" xfId="71" applyNumberFormat="1" applyFont="1" applyFill="1" applyBorder="1" applyAlignment="1" applyProtection="1">
      <alignment horizontal="center" vertical="center"/>
      <protection locked="0"/>
    </xf>
    <xf numFmtId="0" fontId="0" fillId="95" borderId="0" xfId="0" applyFill="1"/>
    <xf numFmtId="0" fontId="0" fillId="95" borderId="89" xfId="0" applyFill="1" applyBorder="1"/>
    <xf numFmtId="0" fontId="3" fillId="95" borderId="0" xfId="0" applyFont="1" applyFill="1" applyAlignment="1">
      <alignment horizontal="center"/>
    </xf>
    <xf numFmtId="0" fontId="0" fillId="95" borderId="12" xfId="0" applyFill="1" applyBorder="1"/>
    <xf numFmtId="0" fontId="3" fillId="95" borderId="5" xfId="0" applyFont="1" applyFill="1" applyBorder="1" applyAlignment="1">
      <alignment vertical="center"/>
    </xf>
    <xf numFmtId="0" fontId="0" fillId="95" borderId="5" xfId="0" applyFill="1" applyBorder="1"/>
    <xf numFmtId="0" fontId="11" fillId="95" borderId="144" xfId="0" applyFont="1" applyFill="1" applyBorder="1" applyAlignment="1" applyProtection="1">
      <alignment horizontal="center" vertical="center" wrapText="1"/>
      <protection locked="0"/>
    </xf>
    <xf numFmtId="0" fontId="11" fillId="95" borderId="145" xfId="0" applyFont="1" applyFill="1" applyBorder="1" applyAlignment="1" applyProtection="1">
      <alignment horizontal="center" vertical="center" wrapText="1"/>
      <protection locked="0"/>
    </xf>
    <xf numFmtId="0" fontId="11" fillId="95" borderId="146" xfId="0" applyFont="1" applyFill="1" applyBorder="1" applyAlignment="1" applyProtection="1">
      <alignment horizontal="center" vertical="center" wrapText="1"/>
      <protection locked="0"/>
    </xf>
    <xf numFmtId="0" fontId="32" fillId="96" borderId="138" xfId="0" quotePrefix="1" applyFont="1" applyFill="1" applyBorder="1"/>
    <xf numFmtId="0" fontId="0" fillId="96" borderId="138" xfId="0" applyFill="1" applyBorder="1"/>
    <xf numFmtId="0" fontId="0" fillId="96" borderId="122" xfId="0" applyFill="1" applyBorder="1"/>
    <xf numFmtId="0" fontId="0" fillId="96" borderId="134" xfId="0" applyFill="1" applyBorder="1"/>
    <xf numFmtId="0" fontId="248" fillId="2" borderId="0" xfId="0" applyFont="1" applyFill="1"/>
    <xf numFmtId="0" fontId="248" fillId="2" borderId="103" xfId="0" applyFont="1" applyFill="1" applyBorder="1"/>
    <xf numFmtId="0" fontId="0" fillId="2" borderId="103" xfId="0" applyFill="1" applyBorder="1"/>
    <xf numFmtId="0" fontId="249" fillId="2" borderId="0" xfId="0" applyFont="1" applyFill="1"/>
    <xf numFmtId="0" fontId="0" fillId="2" borderId="5" xfId="0" applyFill="1" applyBorder="1"/>
    <xf numFmtId="0" fontId="249" fillId="2" borderId="89" xfId="0" applyFont="1" applyFill="1" applyBorder="1"/>
    <xf numFmtId="9" fontId="72" fillId="26" borderId="35" xfId="5151" applyNumberFormat="1" applyFont="1" applyFill="1" applyBorder="1" applyAlignment="1">
      <alignment horizontal="center" vertical="center" wrapText="1"/>
    </xf>
    <xf numFmtId="10" fontId="49" fillId="2" borderId="0" xfId="0"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45"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237" fontId="41" fillId="28" borderId="0" xfId="0" applyNumberFormat="1" applyFont="1" applyFill="1" applyAlignment="1">
      <alignment horizontal="center" vertical="center"/>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9" fontId="41" fillId="28" borderId="0" xfId="0" applyNumberFormat="1" applyFont="1" applyFill="1" applyAlignment="1">
      <alignment horizontal="center"/>
    </xf>
    <xf numFmtId="9" fontId="41" fillId="28" borderId="0" xfId="0" applyNumberFormat="1" applyFont="1" applyFill="1" applyAlignment="1">
      <alignment horizontal="center" vertical="center"/>
    </xf>
    <xf numFmtId="237" fontId="51" fillId="91" borderId="0" xfId="0" applyNumberFormat="1" applyFont="1" applyFill="1" applyAlignment="1">
      <alignment horizontal="center"/>
    </xf>
    <xf numFmtId="237" fontId="41" fillId="28" borderId="0" xfId="72" applyNumberFormat="1" applyFont="1" applyFill="1" applyAlignment="1" applyProtection="1">
      <alignment horizontal="center" vertical="center"/>
      <protection locked="0"/>
    </xf>
    <xf numFmtId="3" fontId="41" fillId="2" borderId="0" xfId="0" applyNumberFormat="1" applyFont="1" applyFill="1" applyAlignment="1" applyProtection="1">
      <alignment wrapText="1"/>
      <protection locked="0"/>
    </xf>
    <xf numFmtId="3" fontId="41" fillId="2" borderId="0" xfId="0" quotePrefix="1" applyNumberFormat="1" applyFont="1" applyFill="1" applyBorder="1" applyAlignment="1" applyProtection="1">
      <alignment wrapText="1"/>
      <protection locked="0"/>
    </xf>
    <xf numFmtId="3" fontId="41" fillId="2" borderId="103" xfId="0" applyNumberFormat="1" applyFont="1" applyFill="1" applyBorder="1" applyAlignment="1" applyProtection="1">
      <alignment wrapText="1"/>
      <protection locked="0"/>
    </xf>
    <xf numFmtId="3" fontId="48" fillId="2" borderId="0" xfId="0" applyNumberFormat="1" applyFont="1" applyFill="1" applyAlignment="1" applyProtection="1">
      <alignment wrapText="1"/>
      <protection locked="0"/>
    </xf>
    <xf numFmtId="0" fontId="48" fillId="2" borderId="0" xfId="0" applyFont="1" applyFill="1" applyAlignment="1" applyProtection="1">
      <alignment wrapText="1"/>
      <protection locked="0"/>
    </xf>
    <xf numFmtId="3" fontId="48" fillId="2" borderId="0" xfId="0" quotePrefix="1" applyNumberFormat="1" applyFont="1" applyFill="1" applyAlignment="1" applyProtection="1">
      <alignment wrapText="1"/>
      <protection locked="0"/>
    </xf>
    <xf numFmtId="10" fontId="34" fillId="0" borderId="0" xfId="0" applyNumberFormat="1" applyFont="1" applyFill="1" applyBorder="1" applyAlignment="1" applyProtection="1">
      <alignment horizontal="center" vertical="center"/>
      <protection locked="0"/>
    </xf>
    <xf numFmtId="10" fontId="41" fillId="0" borderId="0" xfId="0" applyNumberFormat="1" applyFont="1" applyFill="1" applyBorder="1" applyAlignment="1" applyProtection="1">
      <alignment horizontal="center" vertical="center"/>
      <protection locked="0"/>
    </xf>
    <xf numFmtId="10" fontId="41" fillId="0" borderId="0" xfId="72" applyNumberFormat="1" applyFont="1" applyFill="1" applyBorder="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175" fontId="241" fillId="2" borderId="0" xfId="5151" applyNumberFormat="1" applyFont="1" applyFill="1" applyAlignment="1">
      <alignment vertical="center"/>
    </xf>
    <xf numFmtId="43" fontId="5" fillId="28" borderId="35" xfId="71" applyFont="1" applyFill="1" applyBorder="1" applyProtection="1">
      <protection locked="0"/>
    </xf>
    <xf numFmtId="43" fontId="5" fillId="28" borderId="35" xfId="0" applyNumberFormat="1" applyFont="1" applyFill="1" applyBorder="1" applyProtection="1">
      <protection locked="0"/>
    </xf>
    <xf numFmtId="43" fontId="4" fillId="28" borderId="35" xfId="71" quotePrefix="1" applyFont="1" applyFill="1" applyBorder="1" applyProtection="1">
      <protection locked="0"/>
    </xf>
    <xf numFmtId="178" fontId="212" fillId="28" borderId="0" xfId="40" applyNumberFormat="1"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175" fontId="250" fillId="2" borderId="0" xfId="5151" applyNumberFormat="1" applyFont="1" applyFill="1" applyAlignment="1">
      <alignment vertical="center"/>
    </xf>
    <xf numFmtId="0" fontId="251" fillId="2" borderId="0" xfId="0" applyFont="1" applyFill="1" applyAlignment="1">
      <alignment horizontal="left"/>
    </xf>
    <xf numFmtId="43" fontId="1" fillId="28" borderId="35" xfId="71" quotePrefix="1" applyFont="1" applyFill="1" applyBorder="1" applyAlignment="1" applyProtection="1">
      <alignment horizontal="center"/>
      <protection locked="0"/>
    </xf>
    <xf numFmtId="43" fontId="5" fillId="28" borderId="35" xfId="71" applyFont="1" applyFill="1" applyBorder="1" applyAlignment="1" applyProtection="1">
      <alignment horizontal="center"/>
      <protection locked="0"/>
    </xf>
    <xf numFmtId="43" fontId="1"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center"/>
      <protection locked="0"/>
    </xf>
    <xf numFmtId="43" fontId="5" fillId="28" borderId="35" xfId="71" quotePrefix="1" applyFont="1" applyFill="1" applyBorder="1" applyProtection="1">
      <protection locked="0"/>
    </xf>
    <xf numFmtId="43" fontId="252" fillId="28" borderId="35" xfId="71" applyFont="1" applyFill="1" applyBorder="1" applyProtection="1">
      <protection locked="0"/>
    </xf>
    <xf numFmtId="43" fontId="4" fillId="28" borderId="35" xfId="0" applyNumberFormat="1" applyFont="1" applyFill="1" applyBorder="1" applyProtection="1">
      <protection locked="0"/>
    </xf>
    <xf numFmtId="43" fontId="253" fillId="28" borderId="35" xfId="71" applyFont="1" applyFill="1" applyBorder="1" applyProtection="1">
      <protection locked="0"/>
    </xf>
    <xf numFmtId="2" fontId="5" fillId="28" borderId="35" xfId="0" applyNumberFormat="1" applyFont="1" applyFill="1" applyBorder="1" applyProtection="1">
      <protection locked="0"/>
    </xf>
    <xf numFmtId="9" fontId="72" fillId="26" borderId="35" xfId="5151" applyNumberFormat="1" applyFont="1" applyFill="1" applyBorder="1" applyAlignment="1">
      <alignment horizontal="center" vertical="center" wrapText="1"/>
    </xf>
    <xf numFmtId="2" fontId="5" fillId="28" borderId="35" xfId="71" applyNumberFormat="1" applyFont="1" applyFill="1" applyBorder="1" applyProtection="1">
      <protection locked="0"/>
    </xf>
    <xf numFmtId="0" fontId="0" fillId="0" borderId="0" xfId="0" applyFill="1"/>
    <xf numFmtId="0" fontId="75" fillId="26" borderId="103" xfId="0" applyFont="1" applyFill="1" applyBorder="1"/>
    <xf numFmtId="0" fontId="75" fillId="26" borderId="5" xfId="0" applyFont="1" applyFill="1" applyBorder="1"/>
    <xf numFmtId="0" fontId="0" fillId="28" borderId="142" xfId="0" applyFill="1" applyBorder="1"/>
    <xf numFmtId="0" fontId="0" fillId="28" borderId="147" xfId="0" applyFill="1" applyBorder="1"/>
    <xf numFmtId="0" fontId="0" fillId="28" borderId="120" xfId="0" applyFill="1" applyBorder="1" applyAlignment="1">
      <alignment horizontal="left" indent="1"/>
    </xf>
    <xf numFmtId="0" fontId="0" fillId="28" borderId="108" xfId="0" applyFill="1" applyBorder="1" applyAlignment="1">
      <alignment horizontal="left" indent="1"/>
    </xf>
    <xf numFmtId="0" fontId="0" fillId="28" borderId="103" xfId="0" applyFill="1" applyBorder="1"/>
    <xf numFmtId="0" fontId="0" fillId="28" borderId="149" xfId="0" applyFill="1" applyBorder="1"/>
    <xf numFmtId="0" fontId="0" fillId="28" borderId="118" xfId="0" applyFill="1" applyBorder="1" applyAlignment="1">
      <alignment horizontal="left" indent="1"/>
    </xf>
    <xf numFmtId="0" fontId="72" fillId="26" borderId="5" xfId="0" applyFont="1" applyFill="1" applyBorder="1" applyAlignment="1">
      <alignment horizontal="center"/>
    </xf>
    <xf numFmtId="0" fontId="72" fillId="26" borderId="112" xfId="0" applyFont="1" applyFill="1" applyBorder="1" applyAlignment="1">
      <alignment horizontal="center"/>
    </xf>
    <xf numFmtId="175" fontId="254" fillId="26" borderId="118" xfId="5151" applyNumberFormat="1" applyFont="1" applyFill="1" applyBorder="1" applyAlignment="1">
      <alignment vertical="center"/>
    </xf>
    <xf numFmtId="0" fontId="72" fillId="26" borderId="103" xfId="0" applyFont="1" applyFill="1" applyBorder="1" applyAlignment="1">
      <alignment horizontal="center" wrapText="1"/>
    </xf>
    <xf numFmtId="43" fontId="5" fillId="28" borderId="147" xfId="71" applyFont="1" applyFill="1" applyBorder="1" applyProtection="1">
      <protection locked="0"/>
    </xf>
    <xf numFmtId="0" fontId="72" fillId="26" borderId="149" xfId="0" applyFont="1" applyFill="1" applyBorder="1" applyAlignment="1">
      <alignment horizontal="center" wrapText="1"/>
    </xf>
    <xf numFmtId="0" fontId="75" fillId="26" borderId="152" xfId="0" applyFont="1" applyFill="1" applyBorder="1"/>
    <xf numFmtId="43" fontId="5" fillId="28" borderId="36" xfId="71" applyFont="1" applyFill="1" applyBorder="1" applyProtection="1">
      <protection locked="0"/>
    </xf>
    <xf numFmtId="0" fontId="72" fillId="26" borderId="142" xfId="0" applyFont="1" applyFill="1" applyBorder="1" applyAlignment="1">
      <alignment horizontal="center"/>
    </xf>
    <xf numFmtId="0" fontId="72" fillId="26" borderId="147" xfId="0" applyFont="1" applyFill="1" applyBorder="1" applyAlignment="1">
      <alignment horizontal="center"/>
    </xf>
    <xf numFmtId="43" fontId="5" fillId="28" borderId="148" xfId="71" applyFont="1" applyFill="1" applyBorder="1" applyProtection="1">
      <protection locked="0"/>
    </xf>
    <xf numFmtId="0" fontId="75" fillId="26" borderId="149" xfId="0" applyFont="1" applyFill="1" applyBorder="1"/>
    <xf numFmtId="0" fontId="75" fillId="26" borderId="150" xfId="0" applyFont="1" applyFill="1" applyBorder="1"/>
    <xf numFmtId="0" fontId="255" fillId="26" borderId="109" xfId="0" applyFont="1" applyFill="1" applyBorder="1" applyAlignment="1">
      <alignment horizontal="left" vertical="top"/>
    </xf>
    <xf numFmtId="43" fontId="252" fillId="28" borderId="35" xfId="0" applyNumberFormat="1" applyFont="1" applyFill="1" applyBorder="1" applyProtection="1">
      <protection locked="0"/>
    </xf>
    <xf numFmtId="0" fontId="72" fillId="26" borderId="151" xfId="0" applyFont="1" applyFill="1" applyBorder="1" applyAlignment="1">
      <alignment horizontal="left" vertical="center"/>
    </xf>
    <xf numFmtId="0" fontId="222" fillId="2" borderId="0" xfId="0" applyFont="1" applyFill="1" applyBorder="1" applyAlignment="1">
      <alignment horizontal="center" vertical="top"/>
    </xf>
    <xf numFmtId="0" fontId="0" fillId="92" borderId="0" xfId="0" applyFill="1" applyAlignment="1">
      <alignment horizontal="center"/>
    </xf>
    <xf numFmtId="0" fontId="237" fillId="2" borderId="0" xfId="0" applyFont="1" applyFill="1" applyAlignment="1">
      <alignment horizontal="center"/>
    </xf>
    <xf numFmtId="0" fontId="217" fillId="2" borderId="110" xfId="0" applyFont="1" applyFill="1" applyBorder="1" applyAlignment="1">
      <alignment horizontal="center" vertical="top" wrapText="1"/>
    </xf>
    <xf numFmtId="0" fontId="13" fillId="93" borderId="110" xfId="0" applyFont="1" applyFill="1" applyBorder="1" applyAlignment="1">
      <alignment horizontal="center" vertical="top" wrapText="1"/>
    </xf>
    <xf numFmtId="0" fontId="0" fillId="28" borderId="110" xfId="0" applyFill="1" applyBorder="1" applyAlignment="1">
      <alignment horizontal="center" vertical="top"/>
    </xf>
    <xf numFmtId="0" fontId="0" fillId="28" borderId="110" xfId="0" applyFont="1" applyFill="1" applyBorder="1" applyAlignment="1">
      <alignment horizontal="center" vertical="top"/>
    </xf>
    <xf numFmtId="0" fontId="0" fillId="96" borderId="0" xfId="0" applyFill="1"/>
    <xf numFmtId="43" fontId="252" fillId="28" borderId="35" xfId="71" applyNumberFormat="1" applyFont="1" applyFill="1" applyBorder="1" applyProtection="1">
      <protection locked="0"/>
    </xf>
    <xf numFmtId="0" fontId="73" fillId="2" borderId="0" xfId="0" applyFont="1" applyFill="1"/>
    <xf numFmtId="43" fontId="0" fillId="2" borderId="0" xfId="0" applyNumberFormat="1" applyFill="1"/>
    <xf numFmtId="43" fontId="253" fillId="28" borderId="147" xfId="71" applyFont="1" applyFill="1" applyBorder="1" applyProtection="1">
      <protection locked="0"/>
    </xf>
    <xf numFmtId="0" fontId="0" fillId="0" borderId="0" xfId="0" applyFill="1" applyAlignment="1">
      <alignment horizontal="right"/>
    </xf>
    <xf numFmtId="10" fontId="41" fillId="0" borderId="0" xfId="0" applyNumberFormat="1" applyFont="1" applyFill="1" applyAlignment="1" applyProtection="1">
      <alignment horizontal="center" vertical="center"/>
      <protection locked="0"/>
    </xf>
    <xf numFmtId="3" fontId="256" fillId="2" borderId="89" xfId="0" applyNumberFormat="1" applyFont="1" applyFill="1" applyBorder="1" applyAlignment="1" applyProtection="1">
      <alignment vertical="center"/>
      <protection locked="0"/>
    </xf>
    <xf numFmtId="43" fontId="41" fillId="2" borderId="0" xfId="71" applyFont="1" applyFill="1" applyBorder="1" applyAlignment="1" applyProtection="1">
      <alignment horizontal="center" vertical="center"/>
      <protection locked="0"/>
    </xf>
    <xf numFmtId="0" fontId="48" fillId="0" borderId="0" xfId="0" applyFont="1" applyFill="1" applyAlignment="1" applyProtection="1">
      <alignment vertical="top" wrapText="1"/>
      <protection locked="0"/>
    </xf>
    <xf numFmtId="3" fontId="45" fillId="2" borderId="0" xfId="0" applyNumberFormat="1" applyFont="1" applyFill="1" applyBorder="1" applyAlignment="1" applyProtection="1">
      <alignment horizontal="center" vertical="center"/>
      <protection locked="0"/>
    </xf>
    <xf numFmtId="10" fontId="45" fillId="0" borderId="0" xfId="0" applyNumberFormat="1" applyFont="1" applyFill="1" applyAlignment="1" applyProtection="1">
      <alignment horizontal="center" vertical="center"/>
      <protection locked="0"/>
    </xf>
    <xf numFmtId="173" fontId="45" fillId="0" borderId="0" xfId="71" applyNumberFormat="1" applyFont="1" applyFill="1" applyBorder="1" applyAlignment="1" applyProtection="1">
      <alignment horizontal="center" vertical="center"/>
      <protection locked="0"/>
    </xf>
    <xf numFmtId="3" fontId="42" fillId="0" borderId="40" xfId="0" applyNumberFormat="1" applyFont="1" applyFill="1" applyBorder="1" applyAlignment="1" applyProtection="1">
      <alignment horizontal="center" vertical="center"/>
      <protection locked="0"/>
    </xf>
    <xf numFmtId="3" fontId="41" fillId="2" borderId="0" xfId="0" applyNumberFormat="1" applyFont="1" applyFill="1" applyAlignment="1" applyProtection="1">
      <alignment horizontal="center" vertical="center"/>
      <protection locked="0"/>
    </xf>
    <xf numFmtId="0" fontId="48" fillId="0" borderId="0" xfId="0" applyFont="1" applyFill="1" applyAlignment="1">
      <alignment vertical="top" wrapText="1"/>
    </xf>
    <xf numFmtId="3" fontId="91" fillId="0" borderId="0" xfId="0" applyNumberFormat="1" applyFont="1" applyFill="1" applyAlignment="1" applyProtection="1">
      <alignment vertical="center" wrapText="1"/>
      <protection locked="0"/>
    </xf>
    <xf numFmtId="0" fontId="91" fillId="0" borderId="0" xfId="0" applyFont="1" applyFill="1" applyAlignment="1" applyProtection="1">
      <alignment vertical="top" wrapText="1"/>
      <protection locked="0"/>
    </xf>
    <xf numFmtId="0" fontId="246" fillId="0" borderId="0" xfId="0" applyFont="1" applyFill="1" applyAlignment="1" applyProtection="1">
      <alignment vertical="top" wrapText="1"/>
      <protection locked="0"/>
    </xf>
    <xf numFmtId="3" fontId="45" fillId="28" borderId="0" xfId="0" applyNumberFormat="1" applyFont="1" applyFill="1" applyBorder="1" applyAlignment="1" applyProtection="1">
      <alignment horizontal="center" vertical="center"/>
      <protection locked="0"/>
    </xf>
    <xf numFmtId="181" fontId="41" fillId="28" borderId="35" xfId="71" applyNumberFormat="1" applyFont="1" applyFill="1" applyBorder="1" applyAlignment="1" applyProtection="1">
      <alignment horizontal="center" vertical="center"/>
      <protection locked="0"/>
    </xf>
    <xf numFmtId="181" fontId="45" fillId="28" borderId="35" xfId="71" applyNumberFormat="1" applyFont="1" applyFill="1" applyBorder="1" applyAlignment="1" applyProtection="1">
      <alignment horizontal="center" vertical="center"/>
      <protection locked="0"/>
    </xf>
    <xf numFmtId="3" fontId="48" fillId="0" borderId="0" xfId="0" applyNumberFormat="1" applyFont="1" applyFill="1" applyBorder="1" applyAlignment="1" applyProtection="1">
      <alignment vertical="center"/>
      <protection locked="0"/>
    </xf>
    <xf numFmtId="0" fontId="48"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0" fontId="232" fillId="0" borderId="0" xfId="0"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9" fontId="41" fillId="2" borderId="12"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1" fillId="2" borderId="0"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protection locked="0"/>
    </xf>
    <xf numFmtId="0" fontId="232" fillId="2" borderId="12" xfId="0" applyFont="1" applyFill="1" applyBorder="1" applyAlignment="1" applyProtection="1">
      <alignment horizontal="center" vertical="center"/>
      <protection locked="0"/>
    </xf>
    <xf numFmtId="3" fontId="0" fillId="28" borderId="35" xfId="0" applyNumberFormat="1" applyFont="1" applyFill="1" applyBorder="1" applyAlignment="1">
      <alignment vertical="top"/>
    </xf>
    <xf numFmtId="43" fontId="245" fillId="28" borderId="35" xfId="71" applyFont="1" applyFill="1" applyBorder="1" applyAlignment="1" applyProtection="1">
      <alignment horizontal="center"/>
      <protection locked="0"/>
    </xf>
    <xf numFmtId="43" fontId="244" fillId="28" borderId="35" xfId="71" quotePrefix="1" applyFont="1" applyFill="1" applyBorder="1" applyAlignment="1" applyProtection="1">
      <alignment horizontal="center"/>
      <protection locked="0"/>
    </xf>
    <xf numFmtId="43" fontId="253"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right"/>
      <protection locked="0"/>
    </xf>
    <xf numFmtId="181" fontId="5" fillId="28" borderId="35" xfId="71" applyNumberFormat="1" applyFont="1" applyFill="1" applyBorder="1" applyProtection="1">
      <protection locked="0"/>
    </xf>
    <xf numFmtId="0" fontId="52" fillId="26" borderId="130" xfId="0" applyNumberFormat="1" applyFont="1" applyFill="1" applyBorder="1" applyAlignment="1" applyProtection="1">
      <alignment vertical="center" wrapText="1"/>
      <protection locked="0"/>
    </xf>
    <xf numFmtId="0" fontId="52" fillId="26" borderId="131" xfId="0" applyNumberFormat="1" applyFont="1" applyFill="1" applyBorder="1" applyAlignment="1" applyProtection="1">
      <alignment vertical="center" wrapText="1"/>
      <protection locked="0"/>
    </xf>
    <xf numFmtId="0" fontId="52" fillId="26" borderId="132" xfId="0" applyNumberFormat="1" applyFont="1" applyFill="1" applyBorder="1" applyAlignment="1" applyProtection="1">
      <alignment vertical="center" wrapText="1"/>
      <protection locked="0"/>
    </xf>
    <xf numFmtId="9" fontId="72" fillId="26" borderId="35" xfId="5151" applyNumberFormat="1" applyFont="1" applyFill="1" applyBorder="1" applyAlignment="1">
      <alignment horizontal="center" vertical="center" wrapText="1"/>
    </xf>
    <xf numFmtId="237" fontId="0" fillId="2" borderId="0" xfId="72" applyNumberFormat="1" applyFont="1" applyFill="1"/>
    <xf numFmtId="237" fontId="0" fillId="2" borderId="12" xfId="72" applyNumberFormat="1" applyFont="1" applyFill="1" applyBorder="1"/>
    <xf numFmtId="237" fontId="0" fillId="2" borderId="89" xfId="72" applyNumberFormat="1" applyFont="1" applyFill="1" applyBorder="1"/>
    <xf numFmtId="237" fontId="0" fillId="2" borderId="103" xfId="72" applyNumberFormat="1" applyFont="1" applyFill="1" applyBorder="1"/>
    <xf numFmtId="237" fontId="0" fillId="2" borderId="97" xfId="72" applyNumberFormat="1" applyFont="1" applyFill="1" applyBorder="1"/>
    <xf numFmtId="237" fontId="0" fillId="2" borderId="118" xfId="72" applyNumberFormat="1" applyFont="1" applyFill="1" applyBorder="1"/>
    <xf numFmtId="237" fontId="0" fillId="2" borderId="5" xfId="72" applyNumberFormat="1" applyFont="1" applyFill="1" applyBorder="1"/>
    <xf numFmtId="237" fontId="0" fillId="2" borderId="112" xfId="72" applyNumberFormat="1" applyFont="1" applyFill="1" applyBorder="1"/>
    <xf numFmtId="237" fontId="0" fillId="2" borderId="109" xfId="72" applyNumberFormat="1" applyFont="1" applyFill="1" applyBorder="1"/>
    <xf numFmtId="237" fontId="6" fillId="2" borderId="89" xfId="72" applyNumberFormat="1" applyFont="1" applyFill="1" applyBorder="1"/>
    <xf numFmtId="237" fontId="6" fillId="2" borderId="0" xfId="72" applyNumberFormat="1" applyFont="1" applyFill="1"/>
    <xf numFmtId="237" fontId="6" fillId="2" borderId="12" xfId="72" applyNumberFormat="1" applyFont="1" applyFill="1" applyBorder="1"/>
    <xf numFmtId="237" fontId="6" fillId="2" borderId="89" xfId="72" applyNumberFormat="1" applyFont="1" applyFill="1" applyBorder="1" applyAlignment="1">
      <alignment horizontal="center"/>
    </xf>
    <xf numFmtId="0" fontId="6" fillId="2" borderId="0" xfId="0" applyFont="1" applyFill="1"/>
    <xf numFmtId="237" fontId="6" fillId="2" borderId="0" xfId="72" applyNumberFormat="1" applyFont="1" applyFill="1" applyBorder="1"/>
    <xf numFmtId="237" fontId="0" fillId="2" borderId="12" xfId="72" applyNumberFormat="1" applyFont="1" applyFill="1" applyBorder="1" applyAlignment="1">
      <alignment horizontal="right"/>
    </xf>
    <xf numFmtId="237" fontId="0" fillId="2" borderId="0" xfId="72" applyNumberFormat="1" applyFont="1" applyFill="1" applyBorder="1"/>
    <xf numFmtId="0" fontId="248" fillId="2" borderId="118" xfId="0" applyFont="1" applyFill="1" applyBorder="1"/>
    <xf numFmtId="0" fontId="0" fillId="2" borderId="89" xfId="0" applyFill="1" applyBorder="1"/>
    <xf numFmtId="0" fontId="0" fillId="2" borderId="109" xfId="0" applyFill="1" applyBorder="1"/>
    <xf numFmtId="237" fontId="0" fillId="2" borderId="112" xfId="72" applyNumberFormat="1" applyFont="1" applyFill="1" applyBorder="1" applyAlignment="1">
      <alignment horizontal="right"/>
    </xf>
    <xf numFmtId="0" fontId="258" fillId="0" borderId="0" xfId="10013" applyFont="1" applyAlignment="1">
      <alignment horizontal="center"/>
    </xf>
    <xf numFmtId="0" fontId="39" fillId="0" borderId="0" xfId="10013"/>
    <xf numFmtId="0" fontId="259" fillId="0" borderId="0" xfId="10013" applyFont="1"/>
    <xf numFmtId="0" fontId="260" fillId="0" borderId="0" xfId="10013" applyFont="1" applyAlignment="1">
      <alignment horizontal="center"/>
    </xf>
    <xf numFmtId="0" fontId="262" fillId="0" borderId="0" xfId="10013" applyFont="1" applyAlignment="1">
      <alignment horizontal="left" vertical="top"/>
    </xf>
    <xf numFmtId="0" fontId="263" fillId="0" borderId="0" xfId="10013" applyFont="1" applyAlignment="1">
      <alignment horizontal="center" vertical="center" wrapText="1"/>
    </xf>
    <xf numFmtId="0" fontId="263" fillId="0" borderId="0" xfId="10013" applyFont="1" applyAlignment="1">
      <alignment horizontal="center" wrapText="1"/>
    </xf>
    <xf numFmtId="0" fontId="264" fillId="0" borderId="0" xfId="10013" applyFont="1" applyAlignment="1">
      <alignment horizontal="center"/>
    </xf>
    <xf numFmtId="0" fontId="265" fillId="0" borderId="0" xfId="10013" applyFont="1"/>
    <xf numFmtId="181" fontId="266" fillId="0" borderId="0" xfId="10013" applyNumberFormat="1" applyFont="1" applyAlignment="1">
      <alignment horizontal="center"/>
    </xf>
    <xf numFmtId="0" fontId="267" fillId="0" borderId="0" xfId="10013" applyFont="1" applyAlignment="1">
      <alignment horizontal="left" vertical="center"/>
    </xf>
    <xf numFmtId="0" fontId="267" fillId="0" borderId="0" xfId="10013" applyFont="1"/>
    <xf numFmtId="0" fontId="258" fillId="0" borderId="0" xfId="10013" applyFont="1" applyAlignment="1">
      <alignment horizontal="center" wrapText="1"/>
    </xf>
    <xf numFmtId="0" fontId="266" fillId="0" borderId="0" xfId="10013" applyFont="1"/>
    <xf numFmtId="0" fontId="269" fillId="0" borderId="0" xfId="10013" applyFont="1" applyAlignment="1">
      <alignment horizontal="center" wrapText="1"/>
    </xf>
    <xf numFmtId="0" fontId="39" fillId="0" borderId="0" xfId="10013" applyAlignment="1">
      <alignment horizontal="center"/>
    </xf>
    <xf numFmtId="0" fontId="270" fillId="0" borderId="0" xfId="10013" applyFont="1"/>
    <xf numFmtId="0" fontId="259" fillId="0" borderId="88" xfId="10013" applyFont="1" applyBorder="1"/>
    <xf numFmtId="0" fontId="266" fillId="0" borderId="0" xfId="10013" applyFont="1" applyAlignment="1">
      <alignment horizontal="left"/>
    </xf>
    <xf numFmtId="181" fontId="266" fillId="0" borderId="160" xfId="10013" applyNumberFormat="1" applyFont="1" applyBorder="1"/>
    <xf numFmtId="9" fontId="259" fillId="0" borderId="0" xfId="72" applyFont="1" applyAlignment="1">
      <alignment horizontal="center"/>
    </xf>
    <xf numFmtId="0" fontId="39" fillId="0" borderId="0" xfId="10013" applyAlignment="1">
      <alignment horizontal="left" indent="1"/>
    </xf>
    <xf numFmtId="43" fontId="39" fillId="0" borderId="0" xfId="71" applyFont="1"/>
    <xf numFmtId="43" fontId="259" fillId="0" borderId="88" xfId="71" applyFont="1" applyBorder="1"/>
    <xf numFmtId="181" fontId="39" fillId="0" borderId="0" xfId="10013" applyNumberFormat="1"/>
    <xf numFmtId="179" fontId="270" fillId="0" borderId="0" xfId="10013" applyNumberFormat="1" applyFont="1"/>
    <xf numFmtId="179" fontId="270" fillId="0" borderId="0" xfId="71" applyNumberFormat="1" applyFont="1"/>
    <xf numFmtId="179" fontId="270" fillId="0" borderId="0" xfId="71" applyNumberFormat="1" applyFont="1" applyBorder="1"/>
    <xf numFmtId="43" fontId="39" fillId="0" borderId="160" xfId="10013" applyNumberFormat="1" applyBorder="1"/>
    <xf numFmtId="43" fontId="271" fillId="92" borderId="160" xfId="71" applyFont="1" applyFill="1" applyBorder="1"/>
    <xf numFmtId="43" fontId="258" fillId="92" borderId="160" xfId="71" applyFont="1" applyFill="1" applyBorder="1"/>
    <xf numFmtId="43" fontId="259" fillId="92" borderId="158" xfId="71" applyFont="1" applyFill="1" applyBorder="1"/>
    <xf numFmtId="43" fontId="39" fillId="92" borderId="160" xfId="71" applyFont="1" applyFill="1" applyBorder="1"/>
    <xf numFmtId="0" fontId="39" fillId="92" borderId="160" xfId="10013" applyFill="1" applyBorder="1"/>
    <xf numFmtId="17" fontId="258" fillId="0" borderId="0" xfId="10013" applyNumberFormat="1" applyFont="1" applyAlignment="1">
      <alignment horizontal="center"/>
    </xf>
    <xf numFmtId="43" fontId="259" fillId="92" borderId="134" xfId="71" applyFont="1" applyFill="1" applyBorder="1"/>
    <xf numFmtId="181" fontId="266" fillId="97" borderId="202" xfId="10013" applyNumberFormat="1" applyFont="1" applyFill="1" applyBorder="1"/>
    <xf numFmtId="43" fontId="259" fillId="97" borderId="202" xfId="10013" applyNumberFormat="1" applyFont="1" applyFill="1" applyBorder="1"/>
    <xf numFmtId="43" fontId="259" fillId="97" borderId="14" xfId="71" applyFont="1" applyFill="1" applyBorder="1"/>
    <xf numFmtId="43" fontId="39" fillId="0" borderId="0" xfId="10013" applyNumberFormat="1"/>
    <xf numFmtId="289" fontId="39" fillId="0" borderId="0" xfId="10013" applyNumberFormat="1"/>
    <xf numFmtId="290" fontId="259" fillId="0" borderId="0" xfId="10013" applyNumberFormat="1" applyFont="1"/>
    <xf numFmtId="43" fontId="7" fillId="97" borderId="159" xfId="0" applyNumberFormat="1" applyFont="1" applyFill="1" applyBorder="1" applyAlignment="1">
      <alignment vertical="center"/>
    </xf>
    <xf numFmtId="43" fontId="7" fillId="97" borderId="157" xfId="0" applyNumberFormat="1" applyFont="1" applyFill="1" applyBorder="1" applyAlignment="1">
      <alignment vertical="center"/>
    </xf>
    <xf numFmtId="2" fontId="0" fillId="97" borderId="157" xfId="0" applyNumberFormat="1" applyFill="1" applyBorder="1" applyAlignment="1">
      <alignment horizontal="center"/>
    </xf>
    <xf numFmtId="43" fontId="261" fillId="97" borderId="137" xfId="0" applyNumberFormat="1" applyFont="1" applyFill="1" applyBorder="1" applyAlignment="1">
      <alignment horizontal="left" vertical="center"/>
    </xf>
    <xf numFmtId="43" fontId="3" fillId="97" borderId="137" xfId="0" applyNumberFormat="1" applyFont="1" applyFill="1" applyBorder="1" applyAlignment="1">
      <alignment vertical="center"/>
    </xf>
    <xf numFmtId="43" fontId="7" fillId="97" borderId="89" xfId="0" applyNumberFormat="1" applyFont="1" applyFill="1" applyBorder="1" applyAlignment="1">
      <alignment vertical="center"/>
    </xf>
    <xf numFmtId="43" fontId="7" fillId="97" borderId="0" xfId="0" applyNumberFormat="1" applyFont="1" applyFill="1" applyAlignment="1">
      <alignment vertical="center"/>
    </xf>
    <xf numFmtId="43" fontId="261" fillId="97" borderId="0" xfId="71" applyFont="1" applyFill="1" applyBorder="1" applyAlignment="1">
      <alignment horizontal="left" vertical="center"/>
    </xf>
    <xf numFmtId="43" fontId="261" fillId="97" borderId="88" xfId="0" applyNumberFormat="1" applyFont="1" applyFill="1" applyBorder="1" applyAlignment="1">
      <alignment horizontal="left" vertical="center"/>
    </xf>
    <xf numFmtId="43" fontId="3" fillId="97" borderId="88" xfId="0" applyNumberFormat="1" applyFont="1" applyFill="1" applyBorder="1" applyAlignment="1">
      <alignment vertical="center"/>
    </xf>
    <xf numFmtId="43" fontId="7" fillId="97" borderId="109" xfId="0" applyNumberFormat="1" applyFont="1" applyFill="1" applyBorder="1" applyAlignment="1">
      <alignment horizontal="left" vertical="center" indent="4"/>
    </xf>
    <xf numFmtId="43" fontId="7" fillId="97" borderId="5" xfId="0" applyNumberFormat="1" applyFont="1" applyFill="1" applyBorder="1" applyAlignment="1">
      <alignment vertical="center"/>
    </xf>
    <xf numFmtId="0" fontId="268" fillId="97" borderId="5" xfId="0" applyFont="1" applyFill="1" applyBorder="1" applyAlignment="1">
      <alignment horizontal="right" indent="1"/>
    </xf>
    <xf numFmtId="43" fontId="268" fillId="97" borderId="5" xfId="0" applyNumberFormat="1" applyFont="1" applyFill="1" applyBorder="1" applyAlignment="1">
      <alignment horizontal="left" vertical="center"/>
    </xf>
    <xf numFmtId="43" fontId="261" fillId="97" borderId="9" xfId="0" applyNumberFormat="1" applyFont="1" applyFill="1" applyBorder="1" applyAlignment="1">
      <alignment horizontal="left" vertical="center"/>
    </xf>
    <xf numFmtId="181" fontId="3" fillId="97" borderId="9" xfId="0" applyNumberFormat="1" applyFont="1" applyFill="1" applyBorder="1" applyAlignment="1">
      <alignment vertical="center"/>
    </xf>
    <xf numFmtId="0" fontId="255" fillId="26" borderId="0" xfId="10013" quotePrefix="1" applyFont="1" applyFill="1" applyAlignment="1">
      <alignment horizontal="center" wrapText="1"/>
    </xf>
    <xf numFmtId="0" fontId="255" fillId="26" borderId="0" xfId="10013" applyFont="1" applyFill="1" applyAlignment="1">
      <alignment horizontal="center" wrapText="1"/>
    </xf>
    <xf numFmtId="0" fontId="272" fillId="26" borderId="0" xfId="10013" applyFont="1" applyFill="1"/>
    <xf numFmtId="0" fontId="272" fillId="26" borderId="0" xfId="10013" applyFont="1" applyFill="1" applyAlignment="1">
      <alignment horizontal="center"/>
    </xf>
    <xf numFmtId="0" fontId="255" fillId="26" borderId="88" xfId="10013" applyFont="1" applyFill="1" applyBorder="1" applyAlignment="1">
      <alignment horizontal="center" wrapText="1"/>
    </xf>
    <xf numFmtId="0" fontId="271" fillId="0" borderId="0" xfId="10013" applyFont="1" applyAlignment="1">
      <alignment horizontal="center" wrapText="1"/>
    </xf>
    <xf numFmtId="43" fontId="273" fillId="97" borderId="0" xfId="0" applyNumberFormat="1" applyFont="1" applyFill="1" applyAlignment="1">
      <alignment vertical="center"/>
    </xf>
    <xf numFmtId="181" fontId="268" fillId="97" borderId="5" xfId="0" applyNumberFormat="1" applyFont="1" applyFill="1" applyBorder="1" applyAlignment="1">
      <alignment vertical="center"/>
    </xf>
    <xf numFmtId="181" fontId="268" fillId="97" borderId="5" xfId="0" applyNumberFormat="1" applyFont="1" applyFill="1" applyBorder="1" applyAlignment="1">
      <alignment horizontal="left" vertical="center"/>
    </xf>
    <xf numFmtId="43" fontId="0" fillId="0" borderId="5" xfId="10014" applyFont="1" applyFill="1" applyBorder="1" applyAlignment="1">
      <alignment horizontal="center"/>
    </xf>
    <xf numFmtId="43" fontId="266" fillId="0" borderId="160" xfId="10013" applyNumberFormat="1" applyFont="1" applyBorder="1"/>
    <xf numFmtId="0" fontId="39" fillId="0" borderId="160" xfId="10013" applyBorder="1"/>
    <xf numFmtId="43" fontId="274" fillId="92" borderId="160" xfId="71" applyFont="1" applyFill="1" applyBorder="1"/>
    <xf numFmtId="43" fontId="266" fillId="0" borderId="160" xfId="10014" applyFont="1" applyFill="1" applyBorder="1"/>
    <xf numFmtId="0" fontId="39" fillId="0" borderId="0" xfId="10013" applyBorder="1"/>
    <xf numFmtId="43" fontId="39" fillId="97" borderId="202" xfId="10013" applyNumberFormat="1" applyFill="1" applyBorder="1"/>
    <xf numFmtId="43" fontId="263" fillId="97" borderId="202" xfId="10013" applyNumberFormat="1" applyFont="1" applyFill="1" applyBorder="1"/>
    <xf numFmtId="0" fontId="258" fillId="0" borderId="0" xfId="10013" applyFont="1" applyBorder="1" applyAlignment="1">
      <alignment horizontal="center"/>
    </xf>
    <xf numFmtId="0" fontId="39" fillId="0" borderId="89" xfId="10013" applyBorder="1"/>
    <xf numFmtId="181" fontId="266" fillId="0" borderId="0" xfId="10013" applyNumberFormat="1" applyFont="1" applyBorder="1" applyAlignment="1">
      <alignment horizontal="center"/>
    </xf>
    <xf numFmtId="0" fontId="267" fillId="0" borderId="12" xfId="10013" applyFont="1" applyBorder="1"/>
    <xf numFmtId="0" fontId="259" fillId="0" borderId="89" xfId="10013" applyFont="1" applyBorder="1"/>
    <xf numFmtId="0" fontId="266" fillId="0" borderId="0" xfId="10013" applyFont="1" applyBorder="1"/>
    <xf numFmtId="0" fontId="267" fillId="0" borderId="89" xfId="10013" applyFont="1" applyBorder="1" applyAlignment="1">
      <alignment horizontal="left"/>
    </xf>
    <xf numFmtId="181" fontId="266" fillId="0" borderId="0" xfId="10013" applyNumberFormat="1" applyFont="1" applyBorder="1"/>
    <xf numFmtId="0" fontId="270" fillId="0" borderId="0" xfId="10013" applyFont="1" applyBorder="1"/>
    <xf numFmtId="0" fontId="270" fillId="0" borderId="12" xfId="10013" applyFont="1" applyBorder="1"/>
    <xf numFmtId="0" fontId="267" fillId="0" borderId="89" xfId="10013" applyFont="1" applyBorder="1" applyAlignment="1">
      <alignment horizontal="left" indent="1"/>
    </xf>
    <xf numFmtId="0" fontId="39" fillId="0" borderId="89" xfId="10013" applyBorder="1" applyAlignment="1">
      <alignment horizontal="center"/>
    </xf>
    <xf numFmtId="43" fontId="0" fillId="0" borderId="0" xfId="10014" applyFont="1" applyBorder="1" applyAlignment="1">
      <alignment horizontal="left" indent="1"/>
    </xf>
    <xf numFmtId="181" fontId="39" fillId="0" borderId="0" xfId="10013" applyNumberFormat="1" applyBorder="1"/>
    <xf numFmtId="179" fontId="267" fillId="0" borderId="12" xfId="10013" applyNumberFormat="1" applyFont="1" applyBorder="1"/>
    <xf numFmtId="179" fontId="266" fillId="0" borderId="0" xfId="71" applyNumberFormat="1" applyFont="1" applyBorder="1"/>
    <xf numFmtId="179" fontId="267" fillId="0" borderId="12" xfId="71" applyNumberFormat="1" applyFont="1" applyBorder="1"/>
    <xf numFmtId="179" fontId="267" fillId="0" borderId="112" xfId="71" applyNumberFormat="1" applyFont="1" applyBorder="1"/>
    <xf numFmtId="0" fontId="266" fillId="0" borderId="89" xfId="10013" applyFont="1" applyBorder="1" applyAlignment="1">
      <alignment horizontal="left"/>
    </xf>
    <xf numFmtId="181" fontId="266" fillId="0" borderId="0" xfId="71" applyNumberFormat="1" applyFont="1" applyBorder="1"/>
    <xf numFmtId="179" fontId="267" fillId="0" borderId="134" xfId="71" applyNumberFormat="1" applyFont="1" applyBorder="1"/>
    <xf numFmtId="179" fontId="267" fillId="0" borderId="134" xfId="10013" applyNumberFormat="1" applyFont="1" applyBorder="1"/>
    <xf numFmtId="181" fontId="263" fillId="0" borderId="0" xfId="10013" applyNumberFormat="1" applyFont="1" applyBorder="1"/>
    <xf numFmtId="17" fontId="266" fillId="0" borderId="89" xfId="10013" applyNumberFormat="1" applyFont="1" applyBorder="1" applyAlignment="1">
      <alignment horizontal="left"/>
    </xf>
    <xf numFmtId="17" fontId="258" fillId="0" borderId="0" xfId="10013" applyNumberFormat="1" applyFont="1" applyBorder="1" applyAlignment="1">
      <alignment horizontal="center"/>
    </xf>
    <xf numFmtId="0" fontId="39" fillId="92" borderId="89" xfId="10013" applyFill="1" applyBorder="1" applyAlignment="1">
      <alignment horizontal="center"/>
    </xf>
    <xf numFmtId="43" fontId="6" fillId="92" borderId="12" xfId="10014" applyFont="1" applyFill="1" applyBorder="1" applyAlignment="1"/>
    <xf numFmtId="181" fontId="6" fillId="92" borderId="12" xfId="10014" applyNumberFormat="1" applyFont="1" applyFill="1" applyBorder="1" applyAlignment="1"/>
    <xf numFmtId="0" fontId="266" fillId="97" borderId="89" xfId="10013" applyFont="1" applyFill="1" applyBorder="1" applyAlignment="1">
      <alignment horizontal="left"/>
    </xf>
    <xf numFmtId="181" fontId="266" fillId="97" borderId="203" xfId="10013" applyNumberFormat="1" applyFont="1" applyFill="1" applyBorder="1"/>
    <xf numFmtId="0" fontId="39" fillId="0" borderId="109" xfId="10013" applyBorder="1"/>
    <xf numFmtId="0" fontId="39" fillId="0" borderId="5" xfId="10013" applyBorder="1"/>
    <xf numFmtId="17" fontId="258" fillId="0" borderId="5" xfId="10013" applyNumberFormat="1" applyFont="1" applyBorder="1" applyAlignment="1">
      <alignment horizontal="center"/>
    </xf>
    <xf numFmtId="0" fontId="39" fillId="0" borderId="112" xfId="10013" applyBorder="1"/>
    <xf numFmtId="0" fontId="259" fillId="0" borderId="159" xfId="10013" applyFont="1" applyBorder="1"/>
    <xf numFmtId="0" fontId="259" fillId="0" borderId="157" xfId="10013" applyFont="1" applyBorder="1" applyAlignment="1">
      <alignment horizontal="center" wrapText="1"/>
    </xf>
    <xf numFmtId="0" fontId="258" fillId="0" borderId="157" xfId="10013" applyFont="1" applyBorder="1" applyAlignment="1">
      <alignment horizontal="center" wrapText="1"/>
    </xf>
    <xf numFmtId="0" fontId="266" fillId="0" borderId="157" xfId="10013" applyFont="1" applyBorder="1"/>
    <xf numFmtId="0" fontId="266" fillId="0" borderId="97" xfId="10013" applyFont="1" applyBorder="1" applyAlignment="1">
      <alignment horizontal="center" wrapText="1"/>
    </xf>
    <xf numFmtId="0" fontId="39" fillId="0" borderId="157" xfId="10013" applyBorder="1" applyAlignment="1">
      <alignment horizontal="center"/>
    </xf>
    <xf numFmtId="0" fontId="39" fillId="0" borderId="0" xfId="10013" applyBorder="1" applyAlignment="1">
      <alignment horizontal="center"/>
    </xf>
    <xf numFmtId="43" fontId="39" fillId="0" borderId="12" xfId="71" applyFont="1" applyBorder="1"/>
    <xf numFmtId="43" fontId="0" fillId="0" borderId="0" xfId="10014" applyFont="1" applyFill="1" applyBorder="1" applyAlignment="1">
      <alignment horizontal="center"/>
    </xf>
    <xf numFmtId="43" fontId="39" fillId="0" borderId="0" xfId="10013" applyNumberFormat="1" applyBorder="1"/>
    <xf numFmtId="43" fontId="267" fillId="0" borderId="0" xfId="10013" applyNumberFormat="1" applyFont="1" applyBorder="1"/>
    <xf numFmtId="43" fontId="39" fillId="0" borderId="134" xfId="71" applyFont="1" applyBorder="1"/>
    <xf numFmtId="43" fontId="0" fillId="0" borderId="0" xfId="10014" applyFont="1" applyFill="1" applyBorder="1"/>
    <xf numFmtId="43" fontId="267" fillId="0" borderId="0" xfId="10014" applyFont="1" applyFill="1" applyBorder="1"/>
    <xf numFmtId="0" fontId="0" fillId="0" borderId="0" xfId="0" applyBorder="1"/>
    <xf numFmtId="181" fontId="39" fillId="92" borderId="0" xfId="10013" applyNumberFormat="1" applyFill="1" applyBorder="1"/>
    <xf numFmtId="43" fontId="0" fillId="92" borderId="0" xfId="10014" applyFont="1" applyFill="1" applyBorder="1" applyAlignment="1">
      <alignment horizontal="center"/>
    </xf>
    <xf numFmtId="181" fontId="267" fillId="92" borderId="0" xfId="10013" applyNumberFormat="1" applyFont="1" applyFill="1" applyBorder="1"/>
    <xf numFmtId="0" fontId="39" fillId="0" borderId="134" xfId="10013" applyBorder="1"/>
    <xf numFmtId="43" fontId="0" fillId="92" borderId="0" xfId="10014" applyFont="1" applyFill="1" applyBorder="1"/>
    <xf numFmtId="43" fontId="39" fillId="92" borderId="12" xfId="71" applyFont="1" applyFill="1" applyBorder="1"/>
    <xf numFmtId="43" fontId="263" fillId="97" borderId="203" xfId="71" applyFont="1" applyFill="1" applyBorder="1"/>
    <xf numFmtId="0" fontId="39" fillId="0" borderId="109" xfId="10013" applyBorder="1" applyAlignment="1">
      <alignment horizontal="center"/>
    </xf>
    <xf numFmtId="43" fontId="263" fillId="0" borderId="5" xfId="10014" applyFont="1" applyBorder="1"/>
    <xf numFmtId="0" fontId="39" fillId="0" borderId="5" xfId="10013" applyBorder="1" applyAlignment="1">
      <alignment horizontal="center"/>
    </xf>
    <xf numFmtId="43" fontId="39" fillId="0" borderId="112" xfId="71" applyFont="1" applyBorder="1"/>
    <xf numFmtId="43" fontId="271" fillId="92" borderId="122" xfId="71" applyFont="1" applyFill="1" applyBorder="1"/>
    <xf numFmtId="43" fontId="259" fillId="97" borderId="204" xfId="10013" applyNumberFormat="1" applyFont="1" applyFill="1" applyBorder="1"/>
    <xf numFmtId="43" fontId="259" fillId="97" borderId="203" xfId="10013" applyNumberFormat="1" applyFont="1" applyFill="1" applyBorder="1"/>
    <xf numFmtId="43" fontId="259" fillId="92" borderId="122" xfId="71" applyFont="1" applyFill="1" applyBorder="1"/>
    <xf numFmtId="0" fontId="39" fillId="0" borderId="88" xfId="10013" applyBorder="1"/>
    <xf numFmtId="43" fontId="271" fillId="92" borderId="158" xfId="71" applyFont="1" applyFill="1" applyBorder="1"/>
    <xf numFmtId="0" fontId="39" fillId="0" borderId="9" xfId="10013" applyBorder="1"/>
    <xf numFmtId="179" fontId="39" fillId="0" borderId="0" xfId="71" applyNumberFormat="1" applyFont="1"/>
    <xf numFmtId="0" fontId="257" fillId="0" borderId="0" xfId="10013" applyFont="1" applyAlignment="1">
      <alignment horizontal="left" vertical="top" wrapText="1"/>
    </xf>
    <xf numFmtId="0" fontId="259" fillId="0" borderId="159" xfId="10013" applyFont="1" applyBorder="1" applyAlignment="1">
      <alignment wrapText="1"/>
    </xf>
    <xf numFmtId="0" fontId="259" fillId="0" borderId="157" xfId="10013" applyFont="1" applyBorder="1" applyAlignment="1">
      <alignment horizontal="center" vertical="center"/>
    </xf>
    <xf numFmtId="179" fontId="259" fillId="0" borderId="97" xfId="71" applyNumberFormat="1" applyFont="1" applyBorder="1" applyAlignment="1">
      <alignment horizontal="center" wrapText="1"/>
    </xf>
    <xf numFmtId="179" fontId="39" fillId="0" borderId="12" xfId="71" applyNumberFormat="1" applyFont="1" applyBorder="1"/>
    <xf numFmtId="0" fontId="0" fillId="0" borderId="0" xfId="0" applyAlignment="1">
      <alignment horizontal="center"/>
    </xf>
    <xf numFmtId="181" fontId="39" fillId="0" borderId="12" xfId="71" applyNumberFormat="1" applyFont="1" applyBorder="1"/>
    <xf numFmtId="181" fontId="39" fillId="0" borderId="134" xfId="71" applyNumberFormat="1" applyFont="1" applyBorder="1"/>
    <xf numFmtId="17" fontId="259" fillId="0" borderId="89" xfId="10013" applyNumberFormat="1" applyFont="1" applyBorder="1" applyAlignment="1">
      <alignment horizontal="left"/>
    </xf>
    <xf numFmtId="0" fontId="259" fillId="0" borderId="89" xfId="10013" applyFont="1" applyBorder="1" applyAlignment="1">
      <alignment wrapText="1"/>
    </xf>
    <xf numFmtId="0" fontId="274" fillId="0" borderId="0" xfId="10013" applyFont="1"/>
    <xf numFmtId="179" fontId="39" fillId="0" borderId="0" xfId="71" applyNumberFormat="1" applyFont="1" applyFill="1"/>
    <xf numFmtId="2" fontId="39" fillId="0" borderId="0" xfId="10013" applyNumberFormat="1"/>
    <xf numFmtId="43" fontId="259" fillId="97" borderId="14" xfId="10013" applyNumberFormat="1" applyFont="1" applyFill="1" applyBorder="1"/>
    <xf numFmtId="0" fontId="271" fillId="0" borderId="109" xfId="10013" applyFont="1" applyBorder="1" applyAlignment="1">
      <alignment horizontal="left"/>
    </xf>
    <xf numFmtId="0" fontId="258" fillId="0" borderId="5" xfId="10013" applyFont="1" applyBorder="1" applyAlignment="1">
      <alignment horizontal="center"/>
    </xf>
    <xf numFmtId="179" fontId="39" fillId="0" borderId="112" xfId="71" applyNumberFormat="1" applyFont="1" applyBorder="1"/>
    <xf numFmtId="0" fontId="271" fillId="0" borderId="0" xfId="10013" applyFont="1" applyAlignment="1">
      <alignment horizontal="left"/>
    </xf>
    <xf numFmtId="179" fontId="39" fillId="0" borderId="0" xfId="71" applyNumberFormat="1" applyFont="1" applyFill="1" applyBorder="1"/>
    <xf numFmtId="17" fontId="258" fillId="0" borderId="0" xfId="10013" quotePrefix="1" applyNumberFormat="1" applyFont="1" applyAlignment="1">
      <alignment horizontal="center"/>
    </xf>
    <xf numFmtId="179" fontId="259" fillId="0" borderId="0" xfId="71" applyNumberFormat="1" applyFont="1" applyFill="1" applyBorder="1"/>
    <xf numFmtId="43" fontId="259" fillId="0" borderId="0" xfId="10013" applyNumberFormat="1" applyFont="1"/>
    <xf numFmtId="181" fontId="0" fillId="0" borderId="0" xfId="71" applyNumberFormat="1" applyFont="1" applyFill="1" applyBorder="1" applyAlignment="1">
      <alignment horizontal="left" indent="1"/>
    </xf>
    <xf numFmtId="181" fontId="0" fillId="0" borderId="0" xfId="71" applyNumberFormat="1" applyFont="1" applyFill="1" applyBorder="1" applyAlignment="1"/>
    <xf numFmtId="0" fontId="259" fillId="97" borderId="204" xfId="10013" applyFont="1" applyFill="1" applyBorder="1" applyAlignment="1">
      <alignment horizontal="left"/>
    </xf>
    <xf numFmtId="181" fontId="263" fillId="97" borderId="203" xfId="10013" applyNumberFormat="1" applyFont="1" applyFill="1" applyBorder="1"/>
    <xf numFmtId="179" fontId="39" fillId="92" borderId="0" xfId="71" applyNumberFormat="1" applyFont="1" applyFill="1" applyBorder="1"/>
    <xf numFmtId="179" fontId="39" fillId="92" borderId="12" xfId="71" applyNumberFormat="1" applyFont="1" applyFill="1" applyBorder="1"/>
    <xf numFmtId="181" fontId="39" fillId="92" borderId="12" xfId="71" applyNumberFormat="1" applyFont="1" applyFill="1" applyBorder="1"/>
    <xf numFmtId="0" fontId="39" fillId="0" borderId="0" xfId="10013" applyFill="1" applyAlignment="1">
      <alignment horizontal="center"/>
    </xf>
    <xf numFmtId="0" fontId="0" fillId="0" borderId="0" xfId="0" applyFill="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wrapText="1"/>
    </xf>
    <xf numFmtId="0" fontId="0" fillId="28" borderId="134" xfId="0" applyFill="1" applyBorder="1" applyAlignment="1">
      <alignment wrapText="1"/>
    </xf>
    <xf numFmtId="0" fontId="0" fillId="28" borderId="122" xfId="0" applyFill="1" applyBorder="1"/>
    <xf numFmtId="0" fontId="0" fillId="28" borderId="134" xfId="0" applyFill="1" applyBorder="1"/>
    <xf numFmtId="0" fontId="0" fillId="28" borderId="122" xfId="0" applyFill="1" applyBorder="1" applyAlignment="1">
      <alignment horizontal="left" wrapText="1"/>
    </xf>
    <xf numFmtId="0" fontId="0" fillId="28" borderId="134"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3" fillId="95" borderId="143" xfId="0" applyFont="1" applyFill="1" applyBorder="1" applyAlignment="1">
      <alignment horizontal="center"/>
    </xf>
    <xf numFmtId="0" fontId="3" fillId="95" borderId="131" xfId="0" applyFont="1" applyFill="1" applyBorder="1" applyAlignment="1">
      <alignment horizontal="center"/>
    </xf>
    <xf numFmtId="0" fontId="3" fillId="95" borderId="132" xfId="0" applyFont="1" applyFill="1" applyBorder="1" applyAlignment="1">
      <alignment horizontal="center"/>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72" fillId="0" borderId="0" xfId="0" applyFont="1" applyFill="1" applyBorder="1" applyAlignment="1">
      <alignment horizontal="center"/>
    </xf>
    <xf numFmtId="0" fontId="257" fillId="0" borderId="0" xfId="10013" applyFont="1" applyAlignment="1">
      <alignment horizontal="center"/>
    </xf>
    <xf numFmtId="43" fontId="266" fillId="97" borderId="202" xfId="71" applyFont="1" applyFill="1" applyBorder="1"/>
    <xf numFmtId="181" fontId="39" fillId="0" borderId="0" xfId="71" applyNumberFormat="1" applyFont="1"/>
    <xf numFmtId="181" fontId="267" fillId="0" borderId="0" xfId="71" applyNumberFormat="1" applyFont="1"/>
    <xf numFmtId="181" fontId="266" fillId="0" borderId="157" xfId="71" applyNumberFormat="1" applyFont="1" applyBorder="1" applyAlignment="1">
      <alignment horizontal="center" wrapText="1"/>
    </xf>
    <xf numFmtId="181" fontId="270" fillId="0" borderId="0" xfId="71" applyNumberFormat="1" applyFont="1" applyBorder="1"/>
    <xf numFmtId="181" fontId="267" fillId="0" borderId="0" xfId="71" applyNumberFormat="1" applyFont="1" applyBorder="1"/>
    <xf numFmtId="181" fontId="267" fillId="0" borderId="5" xfId="71" applyNumberFormat="1" applyFont="1" applyBorder="1"/>
    <xf numFmtId="181" fontId="267" fillId="0" borderId="160" xfId="71" applyNumberFormat="1" applyFont="1" applyBorder="1"/>
    <xf numFmtId="181" fontId="6" fillId="92" borderId="0" xfId="71" applyNumberFormat="1" applyFont="1" applyFill="1" applyBorder="1" applyAlignment="1"/>
    <xf numFmtId="181" fontId="267" fillId="92" borderId="0" xfId="71" applyNumberFormat="1" applyFont="1" applyFill="1" applyBorder="1"/>
    <xf numFmtId="181" fontId="266" fillId="97" borderId="202" xfId="71" applyNumberFormat="1" applyFont="1" applyFill="1" applyBorder="1"/>
    <xf numFmtId="181" fontId="39" fillId="0" borderId="5" xfId="71" applyNumberFormat="1" applyFont="1" applyBorder="1"/>
    <xf numFmtId="43" fontId="39" fillId="0" borderId="0" xfId="71" applyFont="1" applyBorder="1"/>
    <xf numFmtId="179" fontId="0" fillId="0" borderId="0" xfId="71" applyNumberFormat="1" applyFont="1" applyBorder="1"/>
    <xf numFmtId="179" fontId="263" fillId="97" borderId="202" xfId="71" applyNumberFormat="1" applyFont="1" applyFill="1" applyBorder="1"/>
    <xf numFmtId="181" fontId="39" fillId="0" borderId="0" xfId="71" applyNumberFormat="1" applyFont="1" applyBorder="1"/>
    <xf numFmtId="181" fontId="39" fillId="0" borderId="160" xfId="71" applyNumberFormat="1" applyFont="1" applyBorder="1"/>
    <xf numFmtId="181" fontId="0" fillId="0" borderId="0" xfId="71" applyNumberFormat="1" applyFont="1" applyBorder="1"/>
    <xf numFmtId="181" fontId="39" fillId="92" borderId="0" xfId="71" applyNumberFormat="1" applyFont="1" applyFill="1" applyBorder="1"/>
    <xf numFmtId="181" fontId="263" fillId="97" borderId="202" xfId="71" applyNumberFormat="1" applyFont="1" applyFill="1" applyBorder="1"/>
    <xf numFmtId="179" fontId="259" fillId="0" borderId="157" xfId="71" applyNumberFormat="1" applyFont="1" applyBorder="1" applyAlignment="1">
      <alignment horizontal="center" wrapText="1"/>
    </xf>
    <xf numFmtId="179" fontId="39" fillId="97" borderId="202" xfId="71" applyNumberFormat="1" applyFont="1" applyFill="1" applyBorder="1"/>
    <xf numFmtId="181" fontId="259" fillId="0" borderId="157" xfId="71" applyNumberFormat="1" applyFont="1" applyBorder="1" applyAlignment="1">
      <alignment horizontal="center" wrapText="1"/>
    </xf>
    <xf numFmtId="181" fontId="0" fillId="0" borderId="0" xfId="71" applyNumberFormat="1" applyFont="1"/>
    <xf numFmtId="181" fontId="39" fillId="92" borderId="0" xfId="71" applyNumberFormat="1" applyFont="1" applyFill="1"/>
    <xf numFmtId="181" fontId="39" fillId="97" borderId="202" xfId="71" applyNumberFormat="1" applyFont="1" applyFill="1" applyBorder="1"/>
    <xf numFmtId="181" fontId="259" fillId="0" borderId="0" xfId="71" applyNumberFormat="1" applyFont="1"/>
    <xf numFmtId="43" fontId="266" fillId="0" borderId="160" xfId="71" applyFont="1" applyBorder="1"/>
    <xf numFmtId="43" fontId="266" fillId="0" borderId="0" xfId="71" applyFont="1" applyBorder="1"/>
    <xf numFmtId="43" fontId="263" fillId="0" borderId="0" xfId="71" applyFont="1" applyBorder="1"/>
    <xf numFmtId="179" fontId="266" fillId="0" borderId="160" xfId="71" applyNumberFormat="1" applyFont="1" applyBorder="1"/>
    <xf numFmtId="181" fontId="266" fillId="0" borderId="160" xfId="71" applyNumberFormat="1" applyFont="1" applyBorder="1"/>
    <xf numFmtId="181" fontId="263" fillId="0" borderId="0" xfId="71" applyNumberFormat="1" applyFont="1" applyBorder="1"/>
    <xf numFmtId="181" fontId="0" fillId="0" borderId="0" xfId="10014" applyNumberFormat="1" applyFont="1" applyBorder="1" applyAlignment="1">
      <alignment horizontal="left" indent="1"/>
    </xf>
    <xf numFmtId="181" fontId="0" fillId="0" borderId="0" xfId="10014" applyNumberFormat="1" applyFont="1" applyFill="1" applyBorder="1" applyAlignment="1">
      <alignment horizontal="left" indent="1"/>
    </xf>
    <xf numFmtId="181" fontId="266" fillId="0" borderId="160" xfId="10013" applyNumberFormat="1" applyFont="1" applyBorder="1" applyAlignment="1">
      <alignment horizontal="left"/>
    </xf>
    <xf numFmtId="181" fontId="0" fillId="92" borderId="0" xfId="10014" applyNumberFormat="1" applyFont="1" applyFill="1" applyBorder="1" applyAlignment="1"/>
    <xf numFmtId="43" fontId="0" fillId="0" borderId="0" xfId="71" applyFont="1" applyBorder="1" applyAlignment="1">
      <alignment horizontal="left" indent="1"/>
    </xf>
    <xf numFmtId="43" fontId="271" fillId="0" borderId="160" xfId="71" applyFont="1" applyBorder="1"/>
    <xf numFmtId="43" fontId="0" fillId="0" borderId="0" xfId="71" applyFont="1" applyFill="1" applyBorder="1" applyAlignment="1">
      <alignment horizontal="left" indent="1"/>
    </xf>
    <xf numFmtId="43" fontId="271" fillId="0" borderId="160" xfId="71" applyFont="1" applyBorder="1" applyAlignment="1">
      <alignment horizontal="left"/>
    </xf>
    <xf numFmtId="43" fontId="266" fillId="0" borderId="160" xfId="71" applyFont="1" applyBorder="1" applyAlignment="1">
      <alignment horizontal="left"/>
    </xf>
    <xf numFmtId="43" fontId="0" fillId="92" borderId="0" xfId="71" applyFont="1" applyFill="1" applyBorder="1" applyAlignment="1"/>
    <xf numFmtId="43" fontId="271" fillId="97" borderId="202" xfId="71" applyFont="1" applyFill="1" applyBorder="1"/>
    <xf numFmtId="179" fontId="260" fillId="0" borderId="0" xfId="71" applyNumberFormat="1" applyFont="1" applyAlignment="1">
      <alignment horizontal="center"/>
    </xf>
    <xf numFmtId="179" fontId="263" fillId="0" borderId="5" xfId="71" applyNumberFormat="1" applyFont="1" applyBorder="1"/>
    <xf numFmtId="181" fontId="260" fillId="0" borderId="0" xfId="71" applyNumberFormat="1" applyFont="1" applyAlignment="1">
      <alignment horizontal="center"/>
    </xf>
    <xf numFmtId="181" fontId="263" fillId="0" borderId="5" xfId="71" applyNumberFormat="1" applyFont="1" applyBorder="1"/>
    <xf numFmtId="179" fontId="266" fillId="0" borderId="0" xfId="71" applyNumberFormat="1" applyFont="1"/>
    <xf numFmtId="179" fontId="263" fillId="0" borderId="0" xfId="71" applyNumberFormat="1" applyFont="1"/>
    <xf numFmtId="179" fontId="259" fillId="0" borderId="160" xfId="71" applyNumberFormat="1" applyFont="1" applyBorder="1"/>
    <xf numFmtId="179" fontId="259" fillId="0" borderId="0" xfId="71" applyNumberFormat="1" applyFont="1" applyAlignment="1">
      <alignment horizontal="center" wrapText="1"/>
    </xf>
    <xf numFmtId="181" fontId="266" fillId="0" borderId="0" xfId="71" applyNumberFormat="1" applyFont="1"/>
    <xf numFmtId="181" fontId="263" fillId="0" borderId="0" xfId="71" applyNumberFormat="1" applyFont="1"/>
    <xf numFmtId="181" fontId="259" fillId="0" borderId="160" xfId="71" applyNumberFormat="1" applyFont="1" applyBorder="1"/>
    <xf numFmtId="181" fontId="259" fillId="0" borderId="0" xfId="71" applyNumberFormat="1" applyFont="1" applyAlignment="1">
      <alignment horizontal="center" wrapText="1"/>
    </xf>
    <xf numFmtId="179" fontId="266" fillId="0" borderId="0" xfId="71" applyNumberFormat="1" applyFont="1" applyAlignment="1">
      <alignment horizontal="center"/>
    </xf>
    <xf numFmtId="179" fontId="0" fillId="0" borderId="0" xfId="71" applyNumberFormat="1" applyFont="1" applyFill="1" applyBorder="1"/>
    <xf numFmtId="179" fontId="267" fillId="0" borderId="0" xfId="71" applyNumberFormat="1" applyFont="1" applyFill="1" applyBorder="1" applyAlignment="1"/>
    <xf numFmtId="179" fontId="0" fillId="0" borderId="0" xfId="71" applyNumberFormat="1" applyFont="1" applyFill="1" applyBorder="1" applyAlignment="1">
      <alignment horizontal="left" indent="1"/>
    </xf>
    <xf numFmtId="179" fontId="0" fillId="0" borderId="0" xfId="71" applyNumberFormat="1" applyFont="1" applyFill="1" applyBorder="1" applyAlignment="1"/>
    <xf numFmtId="181" fontId="263" fillId="0" borderId="0" xfId="71" applyNumberFormat="1" applyFont="1" applyAlignment="1">
      <alignment horizontal="center" vertical="center" wrapText="1"/>
    </xf>
    <xf numFmtId="181" fontId="266" fillId="0" borderId="0" xfId="71" applyNumberFormat="1" applyFont="1" applyAlignment="1">
      <alignment horizontal="center"/>
    </xf>
    <xf numFmtId="181" fontId="0" fillId="0" borderId="0" xfId="71" applyNumberFormat="1" applyFont="1" applyFill="1" applyBorder="1"/>
    <xf numFmtId="181" fontId="267" fillId="0" borderId="0" xfId="71" applyNumberFormat="1" applyFont="1" applyFill="1" applyBorder="1" applyAlignment="1"/>
    <xf numFmtId="179" fontId="271" fillId="0" borderId="0" xfId="71" applyNumberFormat="1" applyFont="1" applyAlignment="1">
      <alignment horizontal="center" wrapText="1"/>
    </xf>
    <xf numFmtId="179" fontId="266" fillId="0" borderId="0" xfId="71" applyNumberFormat="1" applyFont="1" applyFill="1" applyBorder="1"/>
  </cellXfs>
  <cellStyles count="100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802" xr:uid="{FE8E1900-2A17-4434-9085-300CCA4B286B}"/>
    <cellStyle name="(Heading) 3" xfId="9845" xr:uid="{E8B35426-AB57-4BDE-9200-691D4312C562}"/>
    <cellStyle name="(Heading) 4" xfId="9882" xr:uid="{D8645D5F-E66C-458E-9AA0-AE3CD1B2674C}"/>
    <cellStyle name="(Lefting)" xfId="705" xr:uid="{00000000-0005-0000-0000-000007000000}"/>
    <cellStyle name="(Lefting) 2" xfId="9803" xr:uid="{C8C348DE-B28E-4CDF-A374-F2D52C52DD8C}"/>
    <cellStyle name="(Lefting) 3" xfId="9844" xr:uid="{8C1817CE-C690-4076-9ABD-796E21297857}"/>
    <cellStyle name="(Lefting) 4" xfId="9881" xr:uid="{DBCECCE0-9C12-4591-9403-DDF8B54CB19F}"/>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2" xfId="9879" xr:uid="{E0217620-AB95-4A7A-8BAF-ABFFDA87A98D}"/>
    <cellStyle name="Accounting w/$ Total 3" xfId="9877" xr:uid="{45E8FB4F-C016-4CCC-86E7-36C6C70FFA6A}"/>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54" xr:uid="{694A74F8-E728-453B-AE9A-E77B3F4A8405}"/>
    <cellStyle name="ar 2 3" xfId="9823" xr:uid="{FACCB04D-2DFD-4142-8818-320D2AB0CAE2}"/>
    <cellStyle name="ar 2 4" xfId="9851" xr:uid="{2679B1CA-05B6-4714-86F6-98993D030730}"/>
    <cellStyle name="ar 2 5" xfId="9818" xr:uid="{17F37221-04C2-44A3-BDA6-F7484A1258F3}"/>
    <cellStyle name="ar 3" xfId="9805" xr:uid="{4F6090EF-1828-4C0C-B530-F4218908D753}"/>
    <cellStyle name="ar 4" xfId="9878" xr:uid="{B8A85218-5183-4F5E-AE4B-2726A04B3B39}"/>
    <cellStyle name="ar 5" xfId="9875" xr:uid="{20A521B7-B684-4680-B1A2-8C5E66E1B8F2}"/>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806" xr:uid="{6A81A6D6-77B3-4982-9F95-270A4949B31E}"/>
    <cellStyle name="Border, Top 3" xfId="9876" xr:uid="{63F9F0FA-342E-4E48-BD22-D39D6EFAD29C}"/>
    <cellStyle name="Border, Top 4" xfId="9832" xr:uid="{B6B8F0B7-9662-426A-B729-87B38CA19A02}"/>
    <cellStyle name="Border, Top 5" xfId="9874" xr:uid="{D27423E0-3A9B-4EAD-8B72-FD512D20C7D9}"/>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807" xr:uid="{3F8120AF-F0DE-4186-9FC3-D75B6772C343}"/>
    <cellStyle name="Calcul 3" xfId="9831" xr:uid="{87197C7F-BA34-4CD2-B26D-D9BCBD2E0717}"/>
    <cellStyle name="Calcul 4" xfId="9873" xr:uid="{22D8D42B-553B-425A-A03E-13211D0D42CC}"/>
    <cellStyle name="Calculation 2" xfId="36" xr:uid="{00000000-0005-0000-0000-0000FF020000}"/>
    <cellStyle name="Calculation 2 10" xfId="9745" xr:uid="{00000000-0005-0000-0000-000000030000}"/>
    <cellStyle name="Calculation 2 10 2" xfId="9937" xr:uid="{F5D6CD03-F8EF-4AEC-9C25-53CF0EEE29EA}"/>
    <cellStyle name="Calculation 2 10 3" xfId="9961" xr:uid="{804FBE08-0D8D-4F0E-B977-5BA08C9ECF3C}"/>
    <cellStyle name="Calculation 2 10 4" xfId="9987" xr:uid="{CC67184F-279F-4F4F-8107-AE7FB4400A2F}"/>
    <cellStyle name="Calculation 2 11" xfId="9908" xr:uid="{AD7C34AD-37E3-47AA-A71F-BFB1631C8F28}"/>
    <cellStyle name="Calculation 2 12" xfId="9934" xr:uid="{D358B748-A5B9-46F7-9A3A-6AA2E59EA4C0}"/>
    <cellStyle name="Calculation 2 2" xfId="64" xr:uid="{00000000-0005-0000-0000-000001030000}"/>
    <cellStyle name="Calculation 2 2 2" xfId="84" xr:uid="{00000000-0005-0000-0000-000002030000}"/>
    <cellStyle name="Calculation 2 2 2 2" xfId="9766" xr:uid="{00000000-0005-0000-0000-000003030000}"/>
    <cellStyle name="Calculation 2 2 2 2 2" xfId="9955" xr:uid="{A2BC343B-C674-4047-AB7E-35DCD45511F6}"/>
    <cellStyle name="Calculation 2 2 2 2 3" xfId="9981" xr:uid="{A7133696-122F-410B-92F3-BF65EBE2F9C6}"/>
    <cellStyle name="Calculation 2 2 2 2 4" xfId="10007" xr:uid="{33A9BEE7-2BBD-4F04-A834-9CD9DFB484CA}"/>
    <cellStyle name="Calculation 2 2 2 3" xfId="9888" xr:uid="{A920178D-A0EB-40DF-B565-110AC85D6657}"/>
    <cellStyle name="Calculation 2 2 2 4" xfId="9916" xr:uid="{D7C4739D-8D4B-46EF-B876-E6D83DD83A3C}"/>
    <cellStyle name="Calculation 2 2 3" xfId="9752" xr:uid="{00000000-0005-0000-0000-000004030000}"/>
    <cellStyle name="Calculation 2 2 3 2" xfId="9943" xr:uid="{C40750CD-F9F8-46AF-9857-3BFD51570F05}"/>
    <cellStyle name="Calculation 2 2 3 3" xfId="9967" xr:uid="{F1D03ECF-F284-4584-A5EE-4B17A5713239}"/>
    <cellStyle name="Calculation 2 2 3 4" xfId="9993" xr:uid="{8F7EE8F7-50E3-4631-B38B-8EE5F4B0B3D1}"/>
    <cellStyle name="Calculation 2 2 4" xfId="9900" xr:uid="{3928E64A-AF5A-401B-BD47-2B78E63B1D1F}"/>
    <cellStyle name="Calculation 2 2 5" xfId="9928" xr:uid="{23061C74-4639-4820-8D16-A96D78795CF0}"/>
    <cellStyle name="Calculation 2 3" xfId="78" xr:uid="{00000000-0005-0000-0000-000005030000}"/>
    <cellStyle name="Calculation 2 3 2" xfId="9760" xr:uid="{00000000-0005-0000-0000-000006030000}"/>
    <cellStyle name="Calculation 2 3 2 2" xfId="9949" xr:uid="{0E111461-9910-42C9-A8BF-6A053BCA753E}"/>
    <cellStyle name="Calculation 2 3 2 3" xfId="9975" xr:uid="{3C0574D6-0DB2-43C7-A0C8-617ED5732515}"/>
    <cellStyle name="Calculation 2 3 2 4" xfId="10001" xr:uid="{3C9B8313-1B4E-4562-B022-FF2BE2FC1597}"/>
    <cellStyle name="Calculation 2 3 3" xfId="9894" xr:uid="{E32D999E-D901-4622-B4E9-A32FA22DFDB8}"/>
    <cellStyle name="Calculation 2 3 4" xfId="9922" xr:uid="{912D89ED-2901-4160-9A02-968F7EAEB20E}"/>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20" xfId="10014" xr:uid="{557DF120-FC11-4667-8229-111743C72A2E}"/>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808" xr:uid="{D38328D2-6F51-465A-AA86-E25E3E3BD12D}"/>
    <cellStyle name="Commentaire 3" xfId="9830" xr:uid="{582ADACD-64F7-4220-BFDA-2A7C9BAE7C70}"/>
    <cellStyle name="Commentaire 4" xfId="9871" xr:uid="{B43C2266-640E-40B8-8A49-4BB0311F93D7}"/>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53" xr:uid="{DB16353F-7C96-400D-AA81-B7919EF3170C}"/>
    <cellStyle name="Currency [2] 2 3" xfId="9824" xr:uid="{EA1CB61A-E688-45F7-A243-9AE458366D41}"/>
    <cellStyle name="Currency [2] 2 4" xfId="9850" xr:uid="{467CE0E7-70E7-4FC9-85FC-DEAC0FD72424}"/>
    <cellStyle name="Currency [2] 2 5" xfId="9817" xr:uid="{81599E97-92B1-4A27-8D39-71BD18F764DB}"/>
    <cellStyle name="Currency [2] 3" xfId="9809" xr:uid="{F1423A14-FF5A-45BC-911B-DBE9C686C3C8}"/>
    <cellStyle name="Currency [2] 4" xfId="9872" xr:uid="{112DA257-E679-47BC-897F-9A135A3E46C7}"/>
    <cellStyle name="Currency [2] 5" xfId="9870" xr:uid="{261ADA70-2C65-4EB4-A9EB-5B9CD9A29611}"/>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812" xr:uid="{59A60EB0-D3BA-4C9C-B652-4A1EDE13F2E2}"/>
    <cellStyle name="Entrée 3" xfId="9827" xr:uid="{37EFB22F-DA44-410C-B503-FAA7B053BAA9}"/>
    <cellStyle name="Entrée 4" xfId="9864" xr:uid="{CD287477-2DB7-4877-BD2E-3A975F712F2C}"/>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813" xr:uid="{BE0B02AF-D274-42AA-978C-52652A477EC7}"/>
    <cellStyle name="FieldName 3" xfId="9867" xr:uid="{9B34720D-489D-4219-B7F3-3D0DBE5F47DC}"/>
    <cellStyle name="FieldName 4" xfId="9826" xr:uid="{1B53A8C0-EA63-4945-93CD-6A7C849827DF}"/>
    <cellStyle name="FieldName 5" xfId="9863" xr:uid="{07085901-A0AC-4797-BF38-12103FA0DE3F}"/>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814" xr:uid="{C30112AA-62E3-4ADE-9FF3-DE3BAD06B394}"/>
    <cellStyle name="hard no 3" xfId="9866" xr:uid="{7B42024D-7A06-4533-9255-FA1E5A54DBF6}"/>
    <cellStyle name="hard no 4" xfId="9862" xr:uid="{FC5A8EF8-8538-4C41-8102-AA8E2FBB8BB8}"/>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815" xr:uid="{68BC9A58-585C-475C-8ADC-AF18317564E1}"/>
    <cellStyle name="Header2 3" xfId="9865" xr:uid="{A2501B24-562D-44ED-8BAA-9FDBED445A5C}"/>
    <cellStyle name="Header2 4" xfId="9822" xr:uid="{F751E6A8-9B29-4953-8EED-E9679939D105}"/>
    <cellStyle name="Header2 5" xfId="9861" xr:uid="{C12F17A1-F5E4-47E1-838D-2C7067F688FB}"/>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819" xr:uid="{343261C5-3E88-45CB-A7F2-AECCFB52210F}"/>
    <cellStyle name="Input [yellow] 3" xfId="9860" xr:uid="{43469EAE-623E-4D76-ADDF-694FA259F720}"/>
    <cellStyle name="Input [yellow] 4" xfId="9858" xr:uid="{712CACB4-3667-44EE-845F-BBBE419B22CA}"/>
    <cellStyle name="Input 2" xfId="47" xr:uid="{00000000-0005-0000-0000-0000EB1A0000}"/>
    <cellStyle name="Input 2 10" xfId="9747" xr:uid="{00000000-0005-0000-0000-0000EC1A0000}"/>
    <cellStyle name="Input 2 10 2" xfId="9938" xr:uid="{2D0CA76A-2A7C-4A05-83F9-AAED2377C9F7}"/>
    <cellStyle name="Input 2 10 3" xfId="9962" xr:uid="{A047BF7F-FF0E-4F5E-B723-5AD0431B4A74}"/>
    <cellStyle name="Input 2 10 4" xfId="9988" xr:uid="{05A46E90-4388-48F8-A9F7-332E29DFD935}"/>
    <cellStyle name="Input 2 11" xfId="9907" xr:uid="{5CA6FB3C-0E69-4655-8191-DBC7D55941E7}"/>
    <cellStyle name="Input 2 12" xfId="9933" xr:uid="{54C87FC3-ED74-4C93-9BFB-1E9FAEDD95EE}"/>
    <cellStyle name="Input 2 2" xfId="65" xr:uid="{00000000-0005-0000-0000-0000ED1A0000}"/>
    <cellStyle name="Input 2 2 2" xfId="85" xr:uid="{00000000-0005-0000-0000-0000EE1A0000}"/>
    <cellStyle name="Input 2 2 2 2" xfId="9767" xr:uid="{00000000-0005-0000-0000-0000EF1A0000}"/>
    <cellStyle name="Input 2 2 2 2 2" xfId="9956" xr:uid="{8FC41C33-60EC-454E-83D6-BCC31692349F}"/>
    <cellStyle name="Input 2 2 2 2 3" xfId="9982" xr:uid="{FA8B4206-4437-44E7-AA21-739368897290}"/>
    <cellStyle name="Input 2 2 2 2 4" xfId="10008" xr:uid="{EF809E79-763D-46A0-AC88-914540B4EC9D}"/>
    <cellStyle name="Input 2 2 2 3" xfId="9887" xr:uid="{E709AD3B-3DE5-49F1-B522-38DC1FE5DAA1}"/>
    <cellStyle name="Input 2 2 2 4" xfId="9915" xr:uid="{8065C4CE-9286-44C4-AC7E-C1DB8303A8F0}"/>
    <cellStyle name="Input 2 2 3" xfId="9753" xr:uid="{00000000-0005-0000-0000-0000F01A0000}"/>
    <cellStyle name="Input 2 2 3 2" xfId="9944" xr:uid="{CFDFA1DA-F3F2-41F8-AF20-CBC3AFCA4DA3}"/>
    <cellStyle name="Input 2 2 3 3" xfId="9968" xr:uid="{2A5F307A-79E9-4BC0-A466-2189FCE0987C}"/>
    <cellStyle name="Input 2 2 3 4" xfId="9994" xr:uid="{AFC0B615-CB2A-4A64-B391-F3746E0ECD2F}"/>
    <cellStyle name="Input 2 2 4" xfId="9899" xr:uid="{A97877EC-1904-4302-ACA1-174E01C85932}"/>
    <cellStyle name="Input 2 2 5" xfId="9927" xr:uid="{304E77BE-0147-4B04-B4FD-510FC6E48600}"/>
    <cellStyle name="Input 2 3" xfId="79" xr:uid="{00000000-0005-0000-0000-0000F11A0000}"/>
    <cellStyle name="Input 2 3 2" xfId="9761" xr:uid="{00000000-0005-0000-0000-0000F21A0000}"/>
    <cellStyle name="Input 2 3 2 2" xfId="9950" xr:uid="{C21FE250-1499-4DD8-A352-145796520DAF}"/>
    <cellStyle name="Input 2 3 2 3" xfId="9976" xr:uid="{1D214B8D-E7D7-482F-85DC-68B88CCC359B}"/>
    <cellStyle name="Input 2 3 2 4" xfId="10002" xr:uid="{BF43FC4A-2C1F-45FA-A92A-DAB0F229D395}"/>
    <cellStyle name="Input 2 3 3" xfId="9893" xr:uid="{057AE648-23AF-4FEE-B310-B700A0D5AA0A}"/>
    <cellStyle name="Input 2 3 4" xfId="9921" xr:uid="{D4FC7BDE-6C9A-488D-B148-3CA24127C5CE}"/>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52" xr:uid="{27C7669F-0E1C-4F19-AD4C-57702EA7658E}"/>
    <cellStyle name="ItemTypeClass 2 3" xfId="9825" xr:uid="{9C5DBF54-A49C-4123-BE5B-29E23FD5AC13}"/>
    <cellStyle name="ItemTypeClass 2 4" xfId="9849" xr:uid="{4486D62D-8F10-4F05-BD22-6C94AF50358B}"/>
    <cellStyle name="ItemTypeClass 2 5" xfId="9816" xr:uid="{C33EB3CE-8229-4723-B6D1-7587F753D2EC}"/>
    <cellStyle name="ItemTypeClass 3" xfId="9820" xr:uid="{6815A4EF-8EFA-4543-9B1C-27471990453C}"/>
    <cellStyle name="ItemTypeClass 4" xfId="9859" xr:uid="{D2A9437F-D26D-4A19-BC5E-EFAAB3438AFB}"/>
    <cellStyle name="ItemTypeClass 5" xfId="9857" xr:uid="{B8F64606-7C80-4631-9D87-17445F2934EE}"/>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821" xr:uid="{5CC1BC34-CC47-4F53-B558-50255E108945}"/>
    <cellStyle name="Normal 13 5" xfId="9856" xr:uid="{6C78073B-2AEF-48D4-A05D-78EBC74A71B9}"/>
    <cellStyle name="Normal 13 6" xfId="9855" xr:uid="{F86791D0-D1E4-4BF2-8BB5-A4D528787E95}"/>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49" xfId="10013" xr:uid="{523D48CE-1BC5-4410-9459-E265101AB539}"/>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9940" xr:uid="{7CFE358F-5368-4E95-91D9-4965B19E82CA}"/>
    <cellStyle name="Note 2 12 3" xfId="9964" xr:uid="{227D34C7-2DEB-4032-8871-A8A60FFD41AC}"/>
    <cellStyle name="Note 2 12 4" xfId="9990" xr:uid="{F0622737-621B-4E0A-84E1-587B9067A142}"/>
    <cellStyle name="Note 2 13" xfId="9905" xr:uid="{91262F4C-2F16-4B64-B198-0166A2885446}"/>
    <cellStyle name="Note 2 14" xfId="9931" xr:uid="{015223CB-0848-4E01-ABF1-E9F7D8E14A53}"/>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9958" xr:uid="{D70A0780-003D-437F-8FCE-0D8BCB1E907D}"/>
    <cellStyle name="Note 2 2 2 4 3" xfId="9984" xr:uid="{C9C3240F-7CCF-4242-9367-EB246A96141D}"/>
    <cellStyle name="Note 2 2 2 4 4" xfId="10010" xr:uid="{335F104B-14CB-42BE-B011-45993A14779D}"/>
    <cellStyle name="Note 2 2 2 5" xfId="9885" xr:uid="{2374FE42-7D74-4922-8108-0559D39D915F}"/>
    <cellStyle name="Note 2 2 2 6" xfId="9913" xr:uid="{64F4B5ED-788A-4047-B240-6BEEDDFF28D7}"/>
    <cellStyle name="Note 2 2 3" xfId="4557" xr:uid="{00000000-0005-0000-0000-0000D2230000}"/>
    <cellStyle name="Note 2 2 4" xfId="4558" xr:uid="{00000000-0005-0000-0000-0000D3230000}"/>
    <cellStyle name="Note 2 2 5" xfId="9755" xr:uid="{00000000-0005-0000-0000-0000D4230000}"/>
    <cellStyle name="Note 2 2 5 2" xfId="9946" xr:uid="{D20C3B6E-6533-4D7D-A0A2-42026CFDDDC1}"/>
    <cellStyle name="Note 2 2 5 3" xfId="9970" xr:uid="{ED57349E-1329-44EB-B524-4AFDB906305A}"/>
    <cellStyle name="Note 2 2 5 4" xfId="9996" xr:uid="{F69E7982-65E3-4773-AC80-5438FFB23607}"/>
    <cellStyle name="Note 2 2 6" xfId="9897" xr:uid="{6DAE546C-5A27-4014-B7E7-C61B94D47403}"/>
    <cellStyle name="Note 2 2 7" xfId="9925" xr:uid="{9FF8DA1E-4F6C-438F-AA35-EE9309802CBA}"/>
    <cellStyle name="Note 2 3" xfId="81" xr:uid="{00000000-0005-0000-0000-0000D5230000}"/>
    <cellStyle name="Note 2 3 2" xfId="4559" xr:uid="{00000000-0005-0000-0000-0000D6230000}"/>
    <cellStyle name="Note 2 3 3" xfId="9763" xr:uid="{00000000-0005-0000-0000-0000D7230000}"/>
    <cellStyle name="Note 2 3 3 2" xfId="9952" xr:uid="{3A4188A2-6021-4EC6-ABD5-0320D7FF0559}"/>
    <cellStyle name="Note 2 3 3 3" xfId="9978" xr:uid="{DB24F741-58DF-4E4D-8F70-BFED4FC43271}"/>
    <cellStyle name="Note 2 3 3 4" xfId="10004" xr:uid="{D8E2F66B-3E55-4FF3-B6B1-56F17E48E6B2}"/>
    <cellStyle name="Note 2 3 4" xfId="9891" xr:uid="{04F4EA03-8AFE-46E4-9721-7545CB4AE387}"/>
    <cellStyle name="Note 2 3 5" xfId="9919" xr:uid="{221D9EA1-53B3-44AA-960A-544DAEE63BBC}"/>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9957" xr:uid="{D4FEBCC7-02DA-473B-944E-829FC7C5CE7D}"/>
    <cellStyle name="Note 3 2 2 2 3" xfId="9983" xr:uid="{E88F6C9D-3B9A-4212-A388-FD67BBCA129F}"/>
    <cellStyle name="Note 3 2 2 2 4" xfId="10009" xr:uid="{2840B8ED-5977-408C-99B7-3BA0D83D1F50}"/>
    <cellStyle name="Note 3 2 2 3" xfId="9886" xr:uid="{1384EBF0-DCA9-494A-AEE0-32DA1E44A4A6}"/>
    <cellStyle name="Note 3 2 2 4" xfId="9914" xr:uid="{9DE02981-59C0-427E-8ACC-B696300FFE1E}"/>
    <cellStyle name="Note 3 2 3" xfId="9754" xr:uid="{00000000-0005-0000-0000-0000E2230000}"/>
    <cellStyle name="Note 3 2 3 2" xfId="9945" xr:uid="{014EF67E-9B1B-484C-BECE-F419D40FB775}"/>
    <cellStyle name="Note 3 2 3 3" xfId="9969" xr:uid="{9440A322-CB6B-478C-B780-6AF9FB8599A5}"/>
    <cellStyle name="Note 3 2 3 4" xfId="9995" xr:uid="{0D251BC0-05C8-4C74-883B-BC6CAABA2B9F}"/>
    <cellStyle name="Note 3 2 4" xfId="9898" xr:uid="{A6FD5B8A-1F89-4F04-9C26-0FEC3CB9ACED}"/>
    <cellStyle name="Note 3 2 5" xfId="9926" xr:uid="{E28299DA-4005-4C4B-9BF9-B3BDD99708B8}"/>
    <cellStyle name="Note 3 3" xfId="80" xr:uid="{00000000-0005-0000-0000-0000E3230000}"/>
    <cellStyle name="Note 3 3 2" xfId="9762" xr:uid="{00000000-0005-0000-0000-0000E4230000}"/>
    <cellStyle name="Note 3 3 2 2" xfId="9951" xr:uid="{85AF9CD6-7F79-482E-A1E8-C280CECDEE22}"/>
    <cellStyle name="Note 3 3 2 3" xfId="9977" xr:uid="{DFDDADBF-475B-4B5B-BC46-FD0C7ED9DC14}"/>
    <cellStyle name="Note 3 3 2 4" xfId="10003" xr:uid="{79E99C29-C3CA-4524-9234-EACE3EEB1B18}"/>
    <cellStyle name="Note 3 3 3" xfId="9892" xr:uid="{B3921095-8069-4318-BB3F-51645E128455}"/>
    <cellStyle name="Note 3 3 4" xfId="9920" xr:uid="{7B0C0B46-FCA8-4147-B4EE-F97A0B660BFA}"/>
    <cellStyle name="Note 3 4" xfId="9748" xr:uid="{00000000-0005-0000-0000-0000E5230000}"/>
    <cellStyle name="Note 3 4 2" xfId="9939" xr:uid="{D8B509B6-124A-4662-AC8B-EC7646796EBD}"/>
    <cellStyle name="Note 3 4 3" xfId="9963" xr:uid="{D2A2EA8C-F240-42A3-988D-142A6FF194B3}"/>
    <cellStyle name="Note 3 4 4" xfId="9989" xr:uid="{51B1C0E2-23C1-4C4A-843F-A5C3FC63FB9E}"/>
    <cellStyle name="Note 3 5" xfId="9906" xr:uid="{5CF21B44-25EB-4095-865A-6BB1046BA596}"/>
    <cellStyle name="Note 3 6" xfId="9932" xr:uid="{B7210AAE-D475-403E-96FA-C740C42BD986}"/>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833" xr:uid="{6C995B55-74BA-4856-803E-830441555249}"/>
    <cellStyle name="Nr 0 dec - Subtotal 3" xfId="9848" xr:uid="{FE20CFDF-DE49-4070-A20B-53AD053AC6B7}"/>
    <cellStyle name="Nr 0 dec - Subtotal 4" xfId="9804" xr:uid="{9E65D261-6DE6-425E-8AD4-420EE37DE7E5}"/>
    <cellStyle name="Nr 0 dec - Subtotal 5" xfId="9847" xr:uid="{66A8C0B1-AE87-4C6F-85E9-1FA60B3F74CF}"/>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9941" xr:uid="{299F3653-C384-4CE8-ADE6-A5CFF962CD4E}"/>
    <cellStyle name="Output 2 10 3" xfId="9965" xr:uid="{17BF02DC-E196-4834-AD04-B986DB4BE039}"/>
    <cellStyle name="Output 2 10 4" xfId="9991" xr:uid="{52A5FEB3-8208-4D13-83E5-0B9C4B0DE22E}"/>
    <cellStyle name="Output 2 11" xfId="9902" xr:uid="{56C25DAF-F5C3-4853-A921-A1F4DFA5C48F}"/>
    <cellStyle name="Output 2 12" xfId="9930" xr:uid="{D12F9773-BD5F-479C-805F-A818A3FA279E}"/>
    <cellStyle name="Output 2 2" xfId="68" xr:uid="{00000000-0005-0000-0000-000013240000}"/>
    <cellStyle name="Output 2 2 2" xfId="88" xr:uid="{00000000-0005-0000-0000-000014240000}"/>
    <cellStyle name="Output 2 2 2 2" xfId="9770" xr:uid="{00000000-0005-0000-0000-000015240000}"/>
    <cellStyle name="Output 2 2 2 2 2" xfId="9959" xr:uid="{CB24E34D-948C-4AAD-8BBB-A85EA4191D10}"/>
    <cellStyle name="Output 2 2 2 2 3" xfId="9985" xr:uid="{22BF62C3-87D3-4C43-BE19-FE9C026C7470}"/>
    <cellStyle name="Output 2 2 2 2 4" xfId="10011" xr:uid="{C5BB49B5-3FEC-4BCC-931E-4D06753395C0}"/>
    <cellStyle name="Output 2 2 2 3" xfId="9884" xr:uid="{2418DBC1-F4CD-4673-9DE4-03061715608D}"/>
    <cellStyle name="Output 2 2 2 4" xfId="9912" xr:uid="{B5EF348B-DA2A-4826-A556-9D126B492B7A}"/>
    <cellStyle name="Output 2 2 3" xfId="9756" xr:uid="{00000000-0005-0000-0000-000016240000}"/>
    <cellStyle name="Output 2 2 3 2" xfId="9947" xr:uid="{852213FA-2571-4BFF-969E-28679A4E3B74}"/>
    <cellStyle name="Output 2 2 3 3" xfId="9971" xr:uid="{B9149F39-B59D-4726-98A5-96A9B19BE649}"/>
    <cellStyle name="Output 2 2 3 4" xfId="9997" xr:uid="{73773C5C-5DE2-4B69-837B-59E286AC6F3D}"/>
    <cellStyle name="Output 2 2 4" xfId="9896" xr:uid="{E4D9B966-C4E1-4B3F-807E-EF30651E73FA}"/>
    <cellStyle name="Output 2 2 5" xfId="9924" xr:uid="{95DCFD76-70E1-4A0A-880D-FAC8B95CE3DA}"/>
    <cellStyle name="Output 2 3" xfId="82" xr:uid="{00000000-0005-0000-0000-000017240000}"/>
    <cellStyle name="Output 2 3 2" xfId="9764" xr:uid="{00000000-0005-0000-0000-000018240000}"/>
    <cellStyle name="Output 2 3 2 2" xfId="9953" xr:uid="{5A4BE283-3FF1-4C48-ADFB-8B652A9604C6}"/>
    <cellStyle name="Output 2 3 2 3" xfId="9979" xr:uid="{0E20369F-AE37-4E4C-9C7E-91D7DBACD0F5}"/>
    <cellStyle name="Output 2 3 2 4" xfId="10005" xr:uid="{E0E65E9F-C5E2-4AAA-AE57-0D437C092A7D}"/>
    <cellStyle name="Output 2 3 3" xfId="9890" xr:uid="{40928070-5DAA-4926-AD7E-6503F4FDAE62}"/>
    <cellStyle name="Output 2 3 4" xfId="9918" xr:uid="{4D22C055-0682-4651-BF1D-9C6A936E9EE2}"/>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834" xr:uid="{60B38D18-45DF-4638-9C17-4A4C880438C3}"/>
    <cellStyle name="Percent [1] 3" xfId="9800" xr:uid="{61014777-3A7E-4496-B2B5-DE5C4A57EDCE}"/>
    <cellStyle name="Percent [1] 4" xfId="9801" xr:uid="{4B240481-D61C-4404-BFAB-9FA4925DC96B}"/>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835" xr:uid="{9D3E121C-60DC-4AE7-99E9-2590AF4D198A}"/>
    <cellStyle name="SectionHeading 3" xfId="9798" xr:uid="{2BE4594A-A2BC-4094-B410-9E631B020C4B}"/>
    <cellStyle name="SectionHeading 4" xfId="9799" xr:uid="{E24B0F27-7D57-4EFD-8F57-BD43ED838E9F}"/>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836" xr:uid="{2C22359A-C033-4794-978A-7C40D7A5B28E}"/>
    <cellStyle name="Style 21 4" xfId="9792" xr:uid="{98F780B5-4A46-4945-A858-5A87293849B1}"/>
    <cellStyle name="Style 21 5" xfId="9797" xr:uid="{A401A752-E3CA-4F44-9C2F-C662808B9535}"/>
    <cellStyle name="Style 22" xfId="4933" xr:uid="{00000000-0005-0000-0000-000063250000}"/>
    <cellStyle name="Style 22 2" xfId="4934" xr:uid="{00000000-0005-0000-0000-000064250000}"/>
    <cellStyle name="Style 22 2 2" xfId="9838" xr:uid="{5935D121-E947-4083-B0E7-5E0930650852}"/>
    <cellStyle name="Style 22 2 3" xfId="9790" xr:uid="{B2AB29AD-BA0B-488E-B0E7-E051B77184B8}"/>
    <cellStyle name="Style 22 2 4" xfId="9795" xr:uid="{442D5A7B-0487-42FF-AB60-0F329846E3E6}"/>
    <cellStyle name="Style 22 3" xfId="4935" xr:uid="{00000000-0005-0000-0000-000065250000}"/>
    <cellStyle name="Style 22 3 2" xfId="9839" xr:uid="{B260D151-F5CB-4D96-838C-F24EEFDAD0B4}"/>
    <cellStyle name="Style 22 3 3" xfId="9789" xr:uid="{DF50B782-5CA5-44EE-925E-FA9FA3EF25A6}"/>
    <cellStyle name="Style 22 3 4" xfId="9794" xr:uid="{DA97E36F-5231-4762-A4EB-9416C0AF2A4D}"/>
    <cellStyle name="Style 22 4" xfId="4936" xr:uid="{00000000-0005-0000-0000-000066250000}"/>
    <cellStyle name="Style 22 5" xfId="9837" xr:uid="{91F9C566-9D4A-4EDA-9B3F-49D825D10827}"/>
    <cellStyle name="Style 22 6" xfId="9791" xr:uid="{68BDA17C-3892-42DD-B964-C80948CDA323}"/>
    <cellStyle name="Style 22 7" xfId="9796" xr:uid="{70EE8418-A798-489D-A2A7-A18DC06BAE7B}"/>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EE03F2EE-2944-4819-9438-CD044D5436CF}"/>
    <cellStyle name="Style 23 2 2 2 3" xfId="9903" xr:uid="{59968076-78BA-469B-A2A1-DFC44BA32770}"/>
    <cellStyle name="Style 23 2 2 2 4" xfId="9909" xr:uid="{205126F0-5220-4755-B92E-CB84981987AC}"/>
    <cellStyle name="Style 23 2 2 3" xfId="9758" xr:uid="{00000000-0005-0000-0000-00006B250000}"/>
    <cellStyle name="Style 23 2 2 3 2" xfId="9935" xr:uid="{C1C8AC2C-AD1F-46C9-AE0B-BF6E84E1C587}"/>
    <cellStyle name="Style 23 2 2 3 3" xfId="9973" xr:uid="{6FE65B41-72FA-4059-AECF-C02AD14555AA}"/>
    <cellStyle name="Style 23 2 2 3 4" xfId="9999" xr:uid="{555BE4A2-B23E-4604-A01C-1A837A3ABBCA}"/>
    <cellStyle name="Style 23 3" xfId="77" xr:uid="{00000000-0005-0000-0000-00006C250000}"/>
    <cellStyle name="Style 23 3 2" xfId="120" xr:uid="{00000000-0005-0000-0000-00006D250000}"/>
    <cellStyle name="Style 23 3 2 2" xfId="9772" xr:uid="{DE9BE954-D0D8-4575-B789-E096C443C524}"/>
    <cellStyle name="Style 23 3 2 3" xfId="9904" xr:uid="{A17DB185-37B9-404F-B35D-49F1BCAA6429}"/>
    <cellStyle name="Style 23 3 2 4" xfId="9910" xr:uid="{6F5DE7FC-714D-496C-8B55-BD9A4CEE9F37}"/>
    <cellStyle name="Style 23 3 3" xfId="9759" xr:uid="{00000000-0005-0000-0000-00006E250000}"/>
    <cellStyle name="Style 23 3 3 2" xfId="9936" xr:uid="{3B2011A3-C5B5-4462-86E2-FF7E1411F95E}"/>
    <cellStyle name="Style 23 3 3 3" xfId="9974" xr:uid="{E5FF10B8-86A9-4819-BF4C-6BA0F828964C}"/>
    <cellStyle name="Style 23 3 3 4" xfId="10000" xr:uid="{D2CC3508-48C9-4F03-A5C8-A48B8FE08783}"/>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840" xr:uid="{ACF7621C-701A-419A-89BE-1F9564E31283}"/>
    <cellStyle name="Style 24 6" xfId="9787" xr:uid="{E1CEE799-608F-4E92-96FF-C7A0FBC74AC5}"/>
    <cellStyle name="Style 24 7" xfId="9793" xr:uid="{81C23BDB-48AC-4FC9-9AAD-C702FAE74DCB}"/>
    <cellStyle name="Style 25" xfId="4941" xr:uid="{00000000-0005-0000-0000-000073250000}"/>
    <cellStyle name="Style 25 2" xfId="4942" xr:uid="{00000000-0005-0000-0000-000074250000}"/>
    <cellStyle name="Style 25 2 2" xfId="9842" xr:uid="{581624C4-5CA1-4C66-B40D-1E7C50585AA2}"/>
    <cellStyle name="Style 25 2 3" xfId="9783" xr:uid="{62B44EF9-5D82-4342-AD2C-D057A80908A8}"/>
    <cellStyle name="Style 25 2 4" xfId="9786" xr:uid="{38067258-E66B-41B1-B3B0-9924EF367D18}"/>
    <cellStyle name="Style 25 3" xfId="4943" xr:uid="{00000000-0005-0000-0000-000075250000}"/>
    <cellStyle name="Style 25 4" xfId="9841" xr:uid="{F3D05A1F-0A41-489D-81A8-0FEED99C4268}"/>
    <cellStyle name="Style 25 5" xfId="9784" xr:uid="{61C1AC0C-81AC-4935-A190-C1E48BFAA843}"/>
    <cellStyle name="Style 25 6" xfId="9788" xr:uid="{8F24DC85-FCE2-473D-9A3E-212F9B94339D}"/>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843" xr:uid="{65847828-4152-4205-AE8A-06EF1B5ED90E}"/>
    <cellStyle name="Style 26 6" xfId="9782" xr:uid="{A3FED53B-28EB-4E5B-BE88-F29C1382AE40}"/>
    <cellStyle name="Style 26 7" xfId="9785" xr:uid="{F74A82B2-78F1-4861-A407-47FF740018A4}"/>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80" xr:uid="{250669F5-668D-497C-9F84-6C1278FD7BC4}"/>
    <cellStyle name="TableColumnHeader 2 3" xfId="9811" xr:uid="{67B77AD7-9F49-4934-8FA6-E9EB375DECE3}"/>
    <cellStyle name="TableColumnHeader 2 4" xfId="9868" xr:uid="{15E5DC68-9369-40E6-834C-A2B09964446E}"/>
    <cellStyle name="TableColumnHeader 2 5" xfId="9828" xr:uid="{2480C238-AA0D-41C9-BCBA-C3EFB499E0FB}"/>
    <cellStyle name="TableColumnHeader 3" xfId="9846" xr:uid="{65185E04-623A-4F05-82A7-D4C689F24778}"/>
    <cellStyle name="TableColumnHeader 4" xfId="9781" xr:uid="{CAB900E5-2297-4C53-8806-AAECE6E99887}"/>
    <cellStyle name="TableColumnHeader 5" xfId="9780" xr:uid="{04E5F3F9-BC43-490C-B8D4-F035FD83D132}"/>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9942" xr:uid="{567892A1-37CD-4D63-8C9C-51A9EF82D8BA}"/>
    <cellStyle name="Total 2 11 3" xfId="9966" xr:uid="{D3D662B1-26A8-4410-9659-02B010F1D870}"/>
    <cellStyle name="Total 2 11 4" xfId="9992" xr:uid="{8D1C6E74-A876-4D15-B374-6B75AA462797}"/>
    <cellStyle name="Total 2 12" xfId="9901" xr:uid="{FE97B34B-4570-4FF5-9EF0-046D3680FC1A}"/>
    <cellStyle name="Total 2 13" xfId="9929" xr:uid="{33EFEC2E-299D-4FE3-B156-2571C0EDE6E8}"/>
    <cellStyle name="Total 2 2" xfId="69" xr:uid="{00000000-0005-0000-0000-0000FC250000}"/>
    <cellStyle name="Total 2 2 2" xfId="89" xr:uid="{00000000-0005-0000-0000-0000FD250000}"/>
    <cellStyle name="Total 2 2 2 2" xfId="9771" xr:uid="{00000000-0005-0000-0000-0000FE250000}"/>
    <cellStyle name="Total 2 2 2 2 2" xfId="9960" xr:uid="{8F00788F-C4D6-46DC-9D21-BBE26B067254}"/>
    <cellStyle name="Total 2 2 2 2 3" xfId="9986" xr:uid="{ED3C5406-BB75-4DED-8EA9-6A0373308B94}"/>
    <cellStyle name="Total 2 2 2 2 4" xfId="10012" xr:uid="{F385D651-434E-41D3-9F4F-B6F48281F4EB}"/>
    <cellStyle name="Total 2 2 2 3" xfId="9883" xr:uid="{F1CD0F48-A2C0-4CDC-89BE-98DAFF174ED5}"/>
    <cellStyle name="Total 2 2 2 4" xfId="9911" xr:uid="{CA96DAAA-1674-41A7-A153-52D5CC714D4F}"/>
    <cellStyle name="Total 2 2 3" xfId="9757" xr:uid="{00000000-0005-0000-0000-0000FF250000}"/>
    <cellStyle name="Total 2 2 3 2" xfId="9948" xr:uid="{83EF7D09-A940-4ABD-8F4E-22075716A949}"/>
    <cellStyle name="Total 2 2 3 3" xfId="9972" xr:uid="{188EB615-827C-40A6-9208-D7AD6E321717}"/>
    <cellStyle name="Total 2 2 3 4" xfId="9998" xr:uid="{10C52386-D6F8-478F-965A-51081244ED7F}"/>
    <cellStyle name="Total 2 2 4" xfId="9895" xr:uid="{2DF91373-CB23-47BB-8A17-753CB0E7EBE7}"/>
    <cellStyle name="Total 2 2 5" xfId="9923" xr:uid="{1BF51B0F-88D1-4C54-8550-5F19664AB0F3}"/>
    <cellStyle name="Total 2 3" xfId="83" xr:uid="{00000000-0005-0000-0000-000000260000}"/>
    <cellStyle name="Total 2 3 2" xfId="9765" xr:uid="{00000000-0005-0000-0000-000001260000}"/>
    <cellStyle name="Total 2 3 2 2" xfId="9954" xr:uid="{3D2933D0-EC45-4A35-B6D4-F6D22BC66AB1}"/>
    <cellStyle name="Total 2 3 2 3" xfId="9980" xr:uid="{22222C79-00C9-4AD2-BAAF-CCAFD9585A88}"/>
    <cellStyle name="Total 2 3 2 4" xfId="10006" xr:uid="{B082A50E-C808-44BA-B0CB-20F4B2A0A389}"/>
    <cellStyle name="Total 2 3 3" xfId="9889" xr:uid="{8FDC38E2-1C1E-4935-96E9-A4C0425AB1A9}"/>
    <cellStyle name="Total 2 3 4" xfId="9917" xr:uid="{A969C8D9-08B7-4803-BF45-361922F520A3}"/>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79" xr:uid="{700C89E7-E4CD-4E7F-AFB3-E9DFB1EA0E38}"/>
    <cellStyle name="Total 3 3" xfId="9776" xr:uid="{39DF9941-7C32-4BDA-8707-87618E273CFE}"/>
    <cellStyle name="Total Bold" xfId="5078" xr:uid="{00000000-0005-0000-0000-000009260000}"/>
    <cellStyle name="Total Bold 2" xfId="9778" xr:uid="{BBE8C416-D907-47FD-9612-B8070D6573E6}"/>
    <cellStyle name="Total Bold 3" xfId="9775" xr:uid="{D7459417-5345-4F91-8EF8-C39714095807}"/>
    <cellStyle name="Totals" xfId="5079" xr:uid="{00000000-0005-0000-0000-00000A260000}"/>
    <cellStyle name="Totals 2" xfId="8567" xr:uid="{00000000-0005-0000-0000-00000B260000}"/>
    <cellStyle name="Totals 2 2" xfId="9810" xr:uid="{246454E2-7D88-493F-83FD-B48E328CEDA8}"/>
    <cellStyle name="Totals 2 3" xfId="9869" xr:uid="{E2AFFA15-A8E7-4FEB-B48F-4B84E7FD73E2}"/>
    <cellStyle name="Totals 2 4" xfId="9829" xr:uid="{F9D2E9EE-73B7-42D6-A44D-5DF1A5818558}"/>
    <cellStyle name="Totals 3" xfId="9777" xr:uid="{03C299C4-30E4-4B47-9EF1-4FCC6987D6FF}"/>
    <cellStyle name="Totals 4" xfId="9774" xr:uid="{9683D85F-8EBC-4D78-8E77-871F97E40118}"/>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3333FF"/>
      <color rgb="FFFFFF99"/>
      <color rgb="FF0033CC"/>
      <color rgb="FFFFFFCC"/>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178595" y="134471"/>
          <a:ext cx="21986874"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1260667" cy="1947333"/>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27118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506896</xdr:colOff>
      <xdr:row>1</xdr:row>
      <xdr:rowOff>45279</xdr:rowOff>
    </xdr:from>
    <xdr:to>
      <xdr:col>24</xdr:col>
      <xdr:colOff>169518</xdr:colOff>
      <xdr:row>11</xdr:row>
      <xdr:rowOff>37870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06896" y="227496"/>
          <a:ext cx="18836861" cy="1814765"/>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7684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90500" y="38100"/>
          <a:ext cx="1576387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305858</xdr:colOff>
      <xdr:row>0</xdr:row>
      <xdr:rowOff>9525</xdr:rowOff>
    </xdr:from>
    <xdr:to>
      <xdr:col>15</xdr:col>
      <xdr:colOff>95250</xdr:colOff>
      <xdr:row>0</xdr:row>
      <xdr:rowOff>1790638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05858" y="9525"/>
          <a:ext cx="17782117" cy="1781113"/>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228456"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161925</xdr:colOff>
      <xdr:row>0</xdr:row>
      <xdr:rowOff>1312334</xdr:rowOff>
    </xdr:from>
    <xdr:to>
      <xdr:col>14</xdr:col>
      <xdr:colOff>990601</xdr:colOff>
      <xdr:row>0</xdr:row>
      <xdr:rowOff>1581150</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5716250" y="1312334"/>
          <a:ext cx="2133601" cy="26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11</xdr:col>
      <xdr:colOff>577850</xdr:colOff>
      <xdr:row>11</xdr:row>
      <xdr:rowOff>106891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294217"/>
          <a:ext cx="14653683" cy="1791757"/>
        </a:xfrm>
        <a:prstGeom prst="rect">
          <a:avLst/>
        </a:prstGeom>
        <a:ln>
          <a:noFill/>
        </a:ln>
        <a:effectLst>
          <a:softEdge rad="112500"/>
        </a:effectLst>
      </xdr:spPr>
    </xdr:pic>
    <xdr:clientData/>
  </xdr:twoCellAnchor>
  <xdr:twoCellAnchor>
    <xdr:from>
      <xdr:col>1</xdr:col>
      <xdr:colOff>219075</xdr:colOff>
      <xdr:row>4</xdr:row>
      <xdr:rowOff>114300</xdr:rowOff>
    </xdr:from>
    <xdr:to>
      <xdr:col>10</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5</xdr:col>
      <xdr:colOff>0</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7</xdr:col>
      <xdr:colOff>352425</xdr:colOff>
      <xdr:row>9</xdr:row>
      <xdr:rowOff>9525</xdr:rowOff>
    </xdr:from>
    <xdr:to>
      <xdr:col>11</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871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therine/Regulatory%20-%20OEB/IRM/IRM%20Applications/2021%20Application/2017%20LRAM%20Application/2015_16%20LRAM%20Application/Liz%20EB-2019-0049_KWHI_SettlementP_LRAMVA_Workform_2019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RM%20Applications/2021%20Application/2018%20LRAM%20Calculation/2018_2017%20LRAMVA_Workform%20Catherine_2020%200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1.  LRAMVA Summary"/>
      <sheetName val="1-a.  Summary of Changes"/>
      <sheetName val="2. LRAMVA Threshold"/>
      <sheetName val="3.  Distribution Rates"/>
      <sheetName val="3-a.  Rate Class Allocations"/>
      <sheetName val="4.  2011-2014 LRAM"/>
      <sheetName val="DropDownList"/>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10">
          <cell r="AV210">
            <v>865</v>
          </cell>
        </row>
      </sheetData>
      <sheetData sheetId="13">
        <row r="41">
          <cell r="Q4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sqref="A1:XFD104857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1139" t="s">
        <v>174</v>
      </c>
      <c r="C3" s="1139"/>
    </row>
    <row r="4" spans="1:3" ht="11.25" customHeight="1"/>
    <row r="5" spans="1:3" s="30" customFormat="1" ht="25.5" customHeight="1">
      <c r="B5" s="60" t="s">
        <v>420</v>
      </c>
      <c r="C5" s="60" t="s">
        <v>173</v>
      </c>
    </row>
    <row r="6" spans="1:3" s="176" customFormat="1" ht="48" customHeight="1">
      <c r="A6" s="241"/>
      <c r="B6" s="613" t="s">
        <v>170</v>
      </c>
      <c r="C6" s="666" t="s">
        <v>594</v>
      </c>
    </row>
    <row r="7" spans="1:3" s="176" customFormat="1" ht="21" customHeight="1">
      <c r="A7" s="241"/>
      <c r="B7" s="607" t="s">
        <v>552</v>
      </c>
      <c r="C7" s="667" t="s">
        <v>607</v>
      </c>
    </row>
    <row r="8" spans="1:3" s="176" customFormat="1" ht="32.25" customHeight="1">
      <c r="B8" s="607" t="s">
        <v>367</v>
      </c>
      <c r="C8" s="668" t="s">
        <v>595</v>
      </c>
    </row>
    <row r="9" spans="1:3" s="176" customFormat="1" ht="27.75" customHeight="1">
      <c r="B9" s="607" t="s">
        <v>169</v>
      </c>
      <c r="C9" s="668" t="s">
        <v>596</v>
      </c>
    </row>
    <row r="10" spans="1:3" s="176" customFormat="1" ht="33" customHeight="1">
      <c r="B10" s="607" t="s">
        <v>592</v>
      </c>
      <c r="C10" s="667" t="s">
        <v>600</v>
      </c>
    </row>
    <row r="11" spans="1:3" s="176" customFormat="1" ht="26.25" customHeight="1">
      <c r="B11" s="622" t="s">
        <v>368</v>
      </c>
      <c r="C11" s="670" t="s">
        <v>597</v>
      </c>
    </row>
    <row r="12" spans="1:3" s="176" customFormat="1" ht="39.75" customHeight="1">
      <c r="B12" s="607" t="s">
        <v>369</v>
      </c>
      <c r="C12" s="668" t="s">
        <v>598</v>
      </c>
    </row>
    <row r="13" spans="1:3" s="176" customFormat="1" ht="18" customHeight="1">
      <c r="B13" s="607" t="s">
        <v>370</v>
      </c>
      <c r="C13" s="668" t="s">
        <v>599</v>
      </c>
    </row>
    <row r="14" spans="1:3" s="176" customFormat="1" ht="13.5" customHeight="1">
      <c r="B14" s="607"/>
      <c r="C14" s="669"/>
    </row>
    <row r="15" spans="1:3" s="176" customFormat="1" ht="18" customHeight="1">
      <c r="B15" s="607" t="s">
        <v>663</v>
      </c>
      <c r="C15" s="667" t="s">
        <v>661</v>
      </c>
    </row>
    <row r="16" spans="1:3" s="176" customFormat="1" ht="8.25" customHeight="1">
      <c r="B16" s="607"/>
      <c r="C16" s="669"/>
    </row>
    <row r="17" spans="2:3" s="176" customFormat="1" ht="33" customHeight="1">
      <c r="B17" s="671" t="s">
        <v>593</v>
      </c>
      <c r="C17" s="672" t="s">
        <v>662</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54" bottom="0.4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AP545"/>
  <sheetViews>
    <sheetView zoomScale="90" zoomScaleNormal="90" zoomScaleSheetLayoutView="80" zoomScalePageLayoutView="85" workbookViewId="0">
      <selection sqref="A1:XFD1048576"/>
    </sheetView>
  </sheetViews>
  <sheetFormatPr defaultColWidth="9" defaultRowHeight="14.25" outlineLevelRow="1" outlineLevelCol="1"/>
  <cols>
    <col min="1" max="1" width="4.5703125" style="504" customWidth="1"/>
    <col min="2" max="2" width="43.5703125" style="254" customWidth="1"/>
    <col min="3" max="3" width="14" style="254" customWidth="1"/>
    <col min="4" max="4" width="18" style="253" customWidth="1"/>
    <col min="5" max="8" width="10.42578125" style="253" customWidth="1" outlineLevel="1"/>
    <col min="9" max="13" width="12.85546875"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hidden="1" customWidth="1"/>
    <col min="36" max="38" width="15" style="255" hidden="1"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1209" t="s">
        <v>171</v>
      </c>
      <c r="C3" s="257" t="s">
        <v>175</v>
      </c>
      <c r="D3" s="502"/>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20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0"/>
      <c r="C5" s="1188" t="s">
        <v>551</v>
      </c>
      <c r="D5" s="118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209" t="s">
        <v>505</v>
      </c>
      <c r="C7" s="1208" t="s">
        <v>626</v>
      </c>
      <c r="D7" s="1208"/>
      <c r="E7" s="1208"/>
      <c r="F7" s="1208"/>
      <c r="G7" s="1208"/>
      <c r="H7" s="1208"/>
      <c r="I7" s="1208"/>
      <c r="J7" s="1208"/>
      <c r="K7" s="1208"/>
      <c r="L7" s="1208"/>
      <c r="M7" s="1208"/>
      <c r="N7" s="1208"/>
      <c r="O7" s="1208"/>
      <c r="P7" s="1208"/>
      <c r="Q7" s="1208"/>
      <c r="R7" s="1208"/>
      <c r="S7" s="1208"/>
      <c r="T7" s="1208"/>
      <c r="U7" s="1208"/>
      <c r="V7" s="1208"/>
      <c r="W7" s="1208"/>
      <c r="X7" s="1208"/>
      <c r="Y7" s="601"/>
      <c r="Z7" s="601"/>
      <c r="AA7" s="601"/>
      <c r="AB7" s="601"/>
      <c r="AC7" s="601"/>
      <c r="AD7" s="601"/>
      <c r="AE7" s="270"/>
      <c r="AF7" s="270"/>
      <c r="AG7" s="270"/>
      <c r="AH7" s="270"/>
      <c r="AI7" s="270"/>
      <c r="AJ7" s="270"/>
      <c r="AK7" s="270"/>
      <c r="AL7" s="270"/>
    </row>
    <row r="8" spans="1:39" s="271" customFormat="1" ht="58.5" customHeight="1">
      <c r="A8" s="504"/>
      <c r="B8" s="1209"/>
      <c r="C8" s="1208" t="s">
        <v>564</v>
      </c>
      <c r="D8" s="1208"/>
      <c r="E8" s="1208"/>
      <c r="F8" s="1208"/>
      <c r="G8" s="1208"/>
      <c r="H8" s="1208"/>
      <c r="I8" s="1208"/>
      <c r="J8" s="1208"/>
      <c r="K8" s="1208"/>
      <c r="L8" s="1208"/>
      <c r="M8" s="1208"/>
      <c r="N8" s="1208"/>
      <c r="O8" s="1208"/>
      <c r="P8" s="1208"/>
      <c r="Q8" s="1208"/>
      <c r="R8" s="1208"/>
      <c r="S8" s="1208"/>
      <c r="T8" s="1208"/>
      <c r="U8" s="1208"/>
      <c r="V8" s="1208"/>
      <c r="W8" s="1208"/>
      <c r="X8" s="1208"/>
      <c r="Y8" s="601"/>
      <c r="Z8" s="601"/>
      <c r="AA8" s="601"/>
      <c r="AB8" s="601"/>
      <c r="AC8" s="601"/>
      <c r="AD8" s="601"/>
      <c r="AE8" s="272"/>
      <c r="AF8" s="255"/>
      <c r="AG8" s="255"/>
      <c r="AH8" s="255"/>
      <c r="AI8" s="255"/>
      <c r="AJ8" s="255"/>
      <c r="AK8" s="255"/>
      <c r="AL8" s="255"/>
      <c r="AM8" s="256"/>
    </row>
    <row r="9" spans="1:39" s="271" customFormat="1" ht="57.75" customHeight="1">
      <c r="A9" s="504"/>
      <c r="B9" s="273"/>
      <c r="C9" s="1208" t="s">
        <v>563</v>
      </c>
      <c r="D9" s="1208"/>
      <c r="E9" s="1208"/>
      <c r="F9" s="1208"/>
      <c r="G9" s="1208"/>
      <c r="H9" s="1208"/>
      <c r="I9" s="1208"/>
      <c r="J9" s="1208"/>
      <c r="K9" s="1208"/>
      <c r="L9" s="1208"/>
      <c r="M9" s="1208"/>
      <c r="N9" s="1208"/>
      <c r="O9" s="1208"/>
      <c r="P9" s="1208"/>
      <c r="Q9" s="1208"/>
      <c r="R9" s="1208"/>
      <c r="S9" s="1208"/>
      <c r="T9" s="1208"/>
      <c r="U9" s="1208"/>
      <c r="V9" s="1208"/>
      <c r="W9" s="1208"/>
      <c r="X9" s="1208"/>
      <c r="Y9" s="601"/>
      <c r="Z9" s="601"/>
      <c r="AA9" s="601"/>
      <c r="AB9" s="601"/>
      <c r="AC9" s="601"/>
      <c r="AD9" s="601"/>
      <c r="AE9" s="272"/>
      <c r="AF9" s="255"/>
      <c r="AG9" s="255"/>
      <c r="AH9" s="255"/>
      <c r="AI9" s="255"/>
      <c r="AJ9" s="255"/>
      <c r="AK9" s="255"/>
      <c r="AL9" s="255"/>
      <c r="AM9" s="256"/>
    </row>
    <row r="10" spans="1:39" ht="41.25" customHeight="1">
      <c r="B10" s="275"/>
      <c r="C10" s="1208" t="s">
        <v>629</v>
      </c>
      <c r="D10" s="1208"/>
      <c r="E10" s="1208"/>
      <c r="F10" s="1208"/>
      <c r="G10" s="1208"/>
      <c r="H10" s="1208"/>
      <c r="I10" s="1208"/>
      <c r="J10" s="1208"/>
      <c r="K10" s="1208"/>
      <c r="L10" s="1208"/>
      <c r="M10" s="1208"/>
      <c r="N10" s="1208"/>
      <c r="O10" s="1208"/>
      <c r="P10" s="1208"/>
      <c r="Q10" s="1208"/>
      <c r="R10" s="1208"/>
      <c r="S10" s="1208"/>
      <c r="T10" s="1208"/>
      <c r="U10" s="1208"/>
      <c r="V10" s="1208"/>
      <c r="W10" s="1208"/>
      <c r="X10" s="1208"/>
      <c r="Y10" s="601"/>
      <c r="Z10" s="601"/>
      <c r="AA10" s="601"/>
      <c r="AB10" s="601"/>
      <c r="AC10" s="601"/>
      <c r="AD10" s="601"/>
      <c r="AE10" s="272"/>
      <c r="AF10" s="276"/>
      <c r="AG10" s="276"/>
      <c r="AH10" s="276"/>
      <c r="AI10" s="276"/>
      <c r="AJ10" s="276"/>
      <c r="AK10" s="276"/>
      <c r="AL10" s="276"/>
    </row>
    <row r="11" spans="1:39" ht="53.25" customHeight="1">
      <c r="C11" s="1208" t="s">
        <v>614</v>
      </c>
      <c r="D11" s="1208"/>
      <c r="E11" s="1208"/>
      <c r="F11" s="1208"/>
      <c r="G11" s="1208"/>
      <c r="H11" s="1208"/>
      <c r="I11" s="1208"/>
      <c r="J11" s="1208"/>
      <c r="K11" s="1208"/>
      <c r="L11" s="1208"/>
      <c r="M11" s="1208"/>
      <c r="N11" s="1208"/>
      <c r="O11" s="1208"/>
      <c r="P11" s="1208"/>
      <c r="Q11" s="1208"/>
      <c r="R11" s="1208"/>
      <c r="S11" s="1208"/>
      <c r="T11" s="1208"/>
      <c r="U11" s="1208"/>
      <c r="V11" s="1208"/>
      <c r="W11" s="1208"/>
      <c r="X11" s="1208"/>
      <c r="Y11" s="601"/>
      <c r="Z11" s="601"/>
      <c r="AA11" s="601"/>
      <c r="AB11" s="601"/>
      <c r="AC11" s="601"/>
      <c r="AD11" s="601"/>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209" t="s">
        <v>527</v>
      </c>
      <c r="C13" s="586" t="s">
        <v>522</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72"/>
      <c r="AF13" s="276"/>
      <c r="AG13" s="276"/>
      <c r="AH13" s="276"/>
      <c r="AI13" s="276"/>
      <c r="AJ13" s="276"/>
      <c r="AK13" s="276"/>
      <c r="AL13" s="276"/>
      <c r="AM13" s="253"/>
    </row>
    <row r="14" spans="1:39" ht="20.25" customHeight="1">
      <c r="B14" s="1209"/>
      <c r="C14" s="586" t="s">
        <v>523</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72"/>
      <c r="AF14" s="276"/>
      <c r="AG14" s="276"/>
      <c r="AH14" s="276"/>
      <c r="AI14" s="276"/>
      <c r="AJ14" s="276"/>
      <c r="AK14" s="276"/>
      <c r="AL14" s="276"/>
      <c r="AM14" s="253"/>
    </row>
    <row r="15" spans="1:39" ht="20.25" customHeight="1">
      <c r="C15" s="586" t="s">
        <v>524</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72"/>
      <c r="AF15" s="276"/>
      <c r="AG15" s="276"/>
      <c r="AH15" s="276"/>
      <c r="AI15" s="276"/>
      <c r="AJ15" s="276"/>
      <c r="AK15" s="276"/>
      <c r="AL15" s="276"/>
      <c r="AM15" s="253"/>
    </row>
    <row r="16" spans="1:39" ht="20.25" customHeight="1">
      <c r="C16" s="586" t="s">
        <v>525</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5"/>
      <c r="O18" s="281"/>
      <c r="Y18" s="270"/>
      <c r="Z18" s="267"/>
      <c r="AA18" s="267"/>
      <c r="AB18" s="267"/>
      <c r="AC18" s="267"/>
      <c r="AD18" s="267"/>
      <c r="AE18" s="267"/>
      <c r="AF18" s="267"/>
      <c r="AG18" s="267"/>
      <c r="AH18" s="267"/>
      <c r="AI18" s="267"/>
      <c r="AJ18" s="267"/>
      <c r="AK18" s="267"/>
      <c r="AL18" s="267"/>
      <c r="AM18" s="282"/>
    </row>
    <row r="19" spans="1:39" s="283" customFormat="1" ht="36" customHeight="1">
      <c r="A19" s="504"/>
      <c r="B19" s="1199" t="s">
        <v>211</v>
      </c>
      <c r="C19" s="1201" t="s">
        <v>33</v>
      </c>
      <c r="D19" s="284" t="s">
        <v>422</v>
      </c>
      <c r="E19" s="1203" t="s">
        <v>209</v>
      </c>
      <c r="F19" s="1204"/>
      <c r="G19" s="1204"/>
      <c r="H19" s="1204"/>
      <c r="I19" s="1204"/>
      <c r="J19" s="1204"/>
      <c r="K19" s="1204"/>
      <c r="L19" s="1204"/>
      <c r="M19" s="1205"/>
      <c r="N19" s="1206" t="s">
        <v>213</v>
      </c>
      <c r="O19" s="284" t="s">
        <v>423</v>
      </c>
      <c r="P19" s="1203" t="s">
        <v>212</v>
      </c>
      <c r="Q19" s="1204"/>
      <c r="R19" s="1204"/>
      <c r="S19" s="1204"/>
      <c r="T19" s="1204"/>
      <c r="U19" s="1204"/>
      <c r="V19" s="1204"/>
      <c r="W19" s="1204"/>
      <c r="X19" s="1205"/>
      <c r="Y19" s="1196" t="s">
        <v>243</v>
      </c>
      <c r="Z19" s="1197"/>
      <c r="AA19" s="1197"/>
      <c r="AB19" s="1197"/>
      <c r="AC19" s="1197"/>
      <c r="AD19" s="1197"/>
      <c r="AE19" s="1197"/>
      <c r="AF19" s="1197"/>
      <c r="AG19" s="1197"/>
      <c r="AH19" s="1197"/>
      <c r="AI19" s="1197"/>
      <c r="AJ19" s="1197"/>
      <c r="AK19" s="1197"/>
      <c r="AL19" s="1197"/>
      <c r="AM19" s="1198"/>
    </row>
    <row r="20" spans="1:39" s="283" customFormat="1" ht="59.25" customHeight="1">
      <c r="A20" s="504"/>
      <c r="B20" s="1200"/>
      <c r="C20" s="1202"/>
      <c r="D20" s="285">
        <v>2011</v>
      </c>
      <c r="E20" s="285">
        <v>2012</v>
      </c>
      <c r="F20" s="285">
        <v>2013</v>
      </c>
      <c r="G20" s="285">
        <v>2014</v>
      </c>
      <c r="H20" s="285">
        <v>2015</v>
      </c>
      <c r="I20" s="285">
        <v>2016</v>
      </c>
      <c r="J20" s="285">
        <v>2017</v>
      </c>
      <c r="K20" s="285">
        <v>2018</v>
      </c>
      <c r="L20" s="285">
        <v>2019</v>
      </c>
      <c r="M20" s="285">
        <v>2020</v>
      </c>
      <c r="N20" s="120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 50 kW</v>
      </c>
      <c r="AB20" s="286" t="str">
        <f>'1.  LRAMVA Summary'!G52</f>
        <v>Streetlighting kW</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5"/>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4">
        <v>1</v>
      </c>
      <c r="B22" s="294" t="s">
        <v>1</v>
      </c>
      <c r="C22" s="291" t="s">
        <v>25</v>
      </c>
      <c r="D22" s="295">
        <f>+'7.  Persistence Report'!AQ51</f>
        <v>262506.3124313298</v>
      </c>
      <c r="E22" s="295">
        <f>+'7.  Persistence Report'!AR51</f>
        <v>262506.3124313298</v>
      </c>
      <c r="F22" s="295">
        <f>+'7.  Persistence Report'!AS51</f>
        <v>262506.3124313298</v>
      </c>
      <c r="G22" s="295">
        <f>+'7.  Persistence Report'!AT51</f>
        <v>261595.10581325053</v>
      </c>
      <c r="H22" s="295">
        <f>+'7.  Persistence Report'!AU51</f>
        <v>186727.33803115992</v>
      </c>
      <c r="I22" s="295">
        <f>+'7.  Persistence Report'!AV51</f>
        <v>0</v>
      </c>
      <c r="J22" s="295">
        <f>+'7.  Persistence Report'!AW51</f>
        <v>0</v>
      </c>
      <c r="K22" s="295">
        <f>+'7.  Persistence Report'!AX51</f>
        <v>0</v>
      </c>
      <c r="L22" s="295">
        <f>+'7.  Persistence Report'!AY51</f>
        <v>0</v>
      </c>
      <c r="M22" s="295">
        <f>+'7.  Persistence Report'!AZ51</f>
        <v>0</v>
      </c>
      <c r="N22" s="758"/>
      <c r="O22" s="295">
        <f>+'7.  Persistence Report'!L51</f>
        <v>35.962915018326093</v>
      </c>
      <c r="P22" s="295">
        <f>+'7.  Persistence Report'!M51</f>
        <v>35.962915018326093</v>
      </c>
      <c r="Q22" s="295">
        <f>+'7.  Persistence Report'!N51</f>
        <v>35.962915018326093</v>
      </c>
      <c r="R22" s="295">
        <f>+'7.  Persistence Report'!O51</f>
        <v>34.943958223286799</v>
      </c>
      <c r="S22" s="295">
        <f>+'7.  Persistence Report'!P51</f>
        <v>24.550858745825472</v>
      </c>
      <c r="T22" s="295">
        <f>+'7.  Persistence Report'!Q51</f>
        <v>0</v>
      </c>
      <c r="U22" s="295">
        <f>+'7.  Persistence Report'!R51</f>
        <v>0</v>
      </c>
      <c r="V22" s="295">
        <f>+'7.  Persistence Report'!S51</f>
        <v>0</v>
      </c>
      <c r="W22" s="295">
        <f>+'7.  Persistence Report'!T51</f>
        <v>0</v>
      </c>
      <c r="X22" s="295">
        <f>+'7.  Persistence Report'!U51</f>
        <v>0</v>
      </c>
      <c r="Y22" s="772">
        <v>1</v>
      </c>
      <c r="Z22" s="409"/>
      <c r="AA22" s="409"/>
      <c r="AB22" s="409"/>
      <c r="AC22" s="409"/>
      <c r="AD22" s="409"/>
      <c r="AE22" s="409"/>
      <c r="AF22" s="409"/>
      <c r="AG22" s="409"/>
      <c r="AH22" s="409"/>
      <c r="AI22" s="409"/>
      <c r="AJ22" s="409"/>
      <c r="AK22" s="409"/>
      <c r="AL22" s="409"/>
      <c r="AM22" s="296">
        <f>SUM(Y22:AL22)</f>
        <v>1</v>
      </c>
    </row>
    <row r="23" spans="1:39" s="283" customFormat="1" ht="15" outlineLevel="1">
      <c r="A23" s="504"/>
      <c r="B23" s="294" t="s">
        <v>214</v>
      </c>
      <c r="C23" s="291" t="s">
        <v>163</v>
      </c>
      <c r="D23" s="295"/>
      <c r="E23" s="295"/>
      <c r="F23" s="295"/>
      <c r="G23" s="295"/>
      <c r="H23" s="295"/>
      <c r="I23" s="295"/>
      <c r="J23" s="295"/>
      <c r="K23" s="295"/>
      <c r="L23" s="295"/>
      <c r="M23" s="295"/>
      <c r="N23" s="759"/>
      <c r="O23" s="295"/>
      <c r="P23" s="295"/>
      <c r="Q23" s="295"/>
      <c r="R23" s="295"/>
      <c r="S23" s="295"/>
      <c r="T23" s="295"/>
      <c r="U23" s="295"/>
      <c r="V23" s="295"/>
      <c r="W23" s="295"/>
      <c r="X23" s="295"/>
      <c r="Y23" s="776">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7"/>
    </row>
    <row r="24" spans="1:39" s="303" customFormat="1" ht="15.75" outlineLevel="1">
      <c r="A24" s="506"/>
      <c r="B24" s="298"/>
      <c r="C24" s="299"/>
      <c r="D24" s="783"/>
      <c r="E24" s="783"/>
      <c r="F24" s="783"/>
      <c r="G24" s="783"/>
      <c r="H24" s="783"/>
      <c r="I24" s="783"/>
      <c r="J24" s="783"/>
      <c r="K24" s="783"/>
      <c r="L24" s="783"/>
      <c r="M24" s="783"/>
      <c r="O24" s="783"/>
      <c r="P24" s="783"/>
      <c r="Q24" s="783"/>
      <c r="R24" s="783"/>
      <c r="S24" s="783"/>
      <c r="T24" s="783"/>
      <c r="U24" s="783"/>
      <c r="V24" s="783"/>
      <c r="W24" s="783"/>
      <c r="X24" s="783"/>
      <c r="Y24" s="777"/>
      <c r="Z24" s="412"/>
      <c r="AA24" s="412"/>
      <c r="AB24" s="412"/>
      <c r="AC24" s="412"/>
      <c r="AD24" s="412"/>
      <c r="AE24" s="412"/>
      <c r="AF24" s="412"/>
      <c r="AG24" s="412"/>
      <c r="AH24" s="412"/>
      <c r="AI24" s="412"/>
      <c r="AJ24" s="412"/>
      <c r="AK24" s="412"/>
      <c r="AL24" s="412"/>
      <c r="AM24" s="302"/>
    </row>
    <row r="25" spans="1:39" s="283" customFormat="1" ht="15" outlineLevel="1">
      <c r="A25" s="504">
        <v>2</v>
      </c>
      <c r="B25" s="294" t="s">
        <v>2</v>
      </c>
      <c r="C25" s="291" t="s">
        <v>25</v>
      </c>
      <c r="D25" s="295">
        <f>+'7.  Persistence Report'!AQ50</f>
        <v>8560.8035168923561</v>
      </c>
      <c r="E25" s="295">
        <f>+'7.  Persistence Report'!AR50</f>
        <v>8560.8035168923561</v>
      </c>
      <c r="F25" s="295">
        <f>+'7.  Persistence Report'!AS50</f>
        <v>8560.8035168923561</v>
      </c>
      <c r="G25" s="295">
        <f>+'7.  Persistence Report'!AT50</f>
        <v>4636.664893805485</v>
      </c>
      <c r="H25" s="295">
        <f>+'7.  Persistence Report'!AU50</f>
        <v>0</v>
      </c>
      <c r="I25" s="295">
        <f>+'7.  Persistence Report'!AV50</f>
        <v>0</v>
      </c>
      <c r="J25" s="295">
        <f>+'7.  Persistence Report'!AW50</f>
        <v>0</v>
      </c>
      <c r="K25" s="295">
        <f>+'7.  Persistence Report'!AX50</f>
        <v>0</v>
      </c>
      <c r="L25" s="295">
        <f>+'7.  Persistence Report'!AY50</f>
        <v>0</v>
      </c>
      <c r="M25" s="295">
        <f>+'7.  Persistence Report'!AZ50</f>
        <v>0</v>
      </c>
      <c r="N25" s="758"/>
      <c r="O25" s="295">
        <f>+'7.  Persistence Report'!L50</f>
        <v>6.9885629741930746</v>
      </c>
      <c r="P25" s="295">
        <f>+'7.  Persistence Report'!M50</f>
        <v>6.9885629741930746</v>
      </c>
      <c r="Q25" s="295">
        <f>+'7.  Persistence Report'!N50</f>
        <v>6.9885629741930746</v>
      </c>
      <c r="R25" s="295">
        <f>+'7.  Persistence Report'!O50</f>
        <v>2.6003949831621713</v>
      </c>
      <c r="S25" s="295">
        <f>+'7.  Persistence Report'!P50</f>
        <v>0</v>
      </c>
      <c r="T25" s="295">
        <f>+'7.  Persistence Report'!Q50</f>
        <v>0</v>
      </c>
      <c r="U25" s="295">
        <f>+'7.  Persistence Report'!R50</f>
        <v>0</v>
      </c>
      <c r="V25" s="295">
        <f>+'7.  Persistence Report'!S50</f>
        <v>0</v>
      </c>
      <c r="W25" s="295">
        <f>+'7.  Persistence Report'!T50</f>
        <v>0</v>
      </c>
      <c r="X25" s="295">
        <f>+'7.  Persistence Report'!U50</f>
        <v>0</v>
      </c>
      <c r="Y25" s="772">
        <v>1</v>
      </c>
      <c r="Z25" s="409"/>
      <c r="AA25" s="409"/>
      <c r="AB25" s="409"/>
      <c r="AC25" s="409"/>
      <c r="AD25" s="409"/>
      <c r="AE25" s="409"/>
      <c r="AF25" s="409"/>
      <c r="AG25" s="409"/>
      <c r="AH25" s="409"/>
      <c r="AI25" s="409"/>
      <c r="AJ25" s="409"/>
      <c r="AK25" s="409"/>
      <c r="AL25" s="409"/>
      <c r="AM25" s="296">
        <f>SUM(Y25:AL25)</f>
        <v>1</v>
      </c>
    </row>
    <row r="26" spans="1:39" s="283" customFormat="1" ht="15" outlineLevel="1">
      <c r="A26" s="504"/>
      <c r="B26" s="294" t="s">
        <v>214</v>
      </c>
      <c r="C26" s="291" t="s">
        <v>163</v>
      </c>
      <c r="D26" s="295"/>
      <c r="E26" s="295"/>
      <c r="F26" s="295"/>
      <c r="G26" s="295"/>
      <c r="H26" s="295"/>
      <c r="I26" s="295"/>
      <c r="J26" s="295"/>
      <c r="K26" s="295"/>
      <c r="L26" s="295"/>
      <c r="M26" s="295"/>
      <c r="N26" s="759"/>
      <c r="O26" s="295"/>
      <c r="P26" s="295"/>
      <c r="Q26" s="295"/>
      <c r="R26" s="295"/>
      <c r="S26" s="295"/>
      <c r="T26" s="295"/>
      <c r="U26" s="295"/>
      <c r="V26" s="295"/>
      <c r="W26" s="295"/>
      <c r="X26" s="295"/>
      <c r="Y26" s="776">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7"/>
    </row>
    <row r="27" spans="1:39" s="303" customFormat="1" ht="15.75" outlineLevel="1">
      <c r="A27" s="506"/>
      <c r="B27" s="298"/>
      <c r="C27" s="299"/>
      <c r="D27" s="760"/>
      <c r="E27" s="760"/>
      <c r="F27" s="760"/>
      <c r="G27" s="760"/>
      <c r="H27" s="760"/>
      <c r="I27" s="760"/>
      <c r="J27" s="760"/>
      <c r="K27" s="760"/>
      <c r="L27" s="760"/>
      <c r="M27" s="760"/>
      <c r="O27" s="760"/>
      <c r="P27" s="760"/>
      <c r="Q27" s="760"/>
      <c r="R27" s="760"/>
      <c r="S27" s="760"/>
      <c r="T27" s="760"/>
      <c r="U27" s="760"/>
      <c r="V27" s="760"/>
      <c r="W27" s="760"/>
      <c r="X27" s="760"/>
      <c r="Y27" s="777"/>
      <c r="Z27" s="412"/>
      <c r="AA27" s="412"/>
      <c r="AB27" s="412"/>
      <c r="AC27" s="412"/>
      <c r="AD27" s="412"/>
      <c r="AE27" s="412"/>
      <c r="AF27" s="412"/>
      <c r="AG27" s="412"/>
      <c r="AH27" s="412"/>
      <c r="AI27" s="412"/>
      <c r="AJ27" s="412"/>
      <c r="AK27" s="412"/>
      <c r="AL27" s="412"/>
      <c r="AM27" s="302"/>
    </row>
    <row r="28" spans="1:39" s="283" customFormat="1" ht="15" outlineLevel="1">
      <c r="A28" s="504">
        <v>3</v>
      </c>
      <c r="B28" s="294" t="s">
        <v>3</v>
      </c>
      <c r="C28" s="291" t="s">
        <v>25</v>
      </c>
      <c r="D28" s="295">
        <f>+'7.  Persistence Report'!AQ54</f>
        <v>1178372.1744378607</v>
      </c>
      <c r="E28" s="295">
        <f>+'7.  Persistence Report'!AR54</f>
        <v>1178372.1744378607</v>
      </c>
      <c r="F28" s="295">
        <f>+'7.  Persistence Report'!AS54</f>
        <v>1178372.1744378607</v>
      </c>
      <c r="G28" s="295">
        <f>+'7.  Persistence Report'!AT54</f>
        <v>1178372.1744378607</v>
      </c>
      <c r="H28" s="295">
        <f>+'7.  Persistence Report'!AU54</f>
        <v>1178372.1744378607</v>
      </c>
      <c r="I28" s="295">
        <f>+'7.  Persistence Report'!AV54</f>
        <v>1178372.1744378607</v>
      </c>
      <c r="J28" s="295">
        <f>+'7.  Persistence Report'!AW54</f>
        <v>1178372.1744378607</v>
      </c>
      <c r="K28" s="295">
        <f>+'7.  Persistence Report'!AX54</f>
        <v>1178372.1744378607</v>
      </c>
      <c r="L28" s="295">
        <f>+'7.  Persistence Report'!AY54</f>
        <v>1178372.1744378607</v>
      </c>
      <c r="M28" s="295">
        <f>+'7.  Persistence Report'!AZ54</f>
        <v>1178372.1744378607</v>
      </c>
      <c r="N28" s="758"/>
      <c r="O28" s="295">
        <f>+'7.  Persistence Report'!L54</f>
        <v>641.92259522546397</v>
      </c>
      <c r="P28" s="295">
        <f>+'7.  Persistence Report'!M54</f>
        <v>641.92259522546397</v>
      </c>
      <c r="Q28" s="295">
        <f>+'7.  Persistence Report'!N54</f>
        <v>641.92259522546397</v>
      </c>
      <c r="R28" s="295">
        <f>+'7.  Persistence Report'!O54</f>
        <v>641.92259522546397</v>
      </c>
      <c r="S28" s="295">
        <f>+'7.  Persistence Report'!P54</f>
        <v>641.92259522546397</v>
      </c>
      <c r="T28" s="295">
        <f>+'7.  Persistence Report'!Q54</f>
        <v>641.92259522546397</v>
      </c>
      <c r="U28" s="295">
        <f>+'7.  Persistence Report'!R54</f>
        <v>641.92259522546397</v>
      </c>
      <c r="V28" s="295">
        <f>+'7.  Persistence Report'!S54</f>
        <v>641.92259522546397</v>
      </c>
      <c r="W28" s="295">
        <f>+'7.  Persistence Report'!T54</f>
        <v>641.92259522546397</v>
      </c>
      <c r="X28" s="295">
        <f>+'7.  Persistence Report'!U54</f>
        <v>641.92259522546397</v>
      </c>
      <c r="Y28" s="772">
        <v>1</v>
      </c>
      <c r="Z28" s="409"/>
      <c r="AA28" s="409"/>
      <c r="AB28" s="409"/>
      <c r="AC28" s="409"/>
      <c r="AD28" s="409"/>
      <c r="AE28" s="409"/>
      <c r="AF28" s="409"/>
      <c r="AG28" s="409"/>
      <c r="AH28" s="409"/>
      <c r="AI28" s="409"/>
      <c r="AJ28" s="409"/>
      <c r="AK28" s="409"/>
      <c r="AL28" s="409"/>
      <c r="AM28" s="296">
        <f>SUM(Y28:AL28)</f>
        <v>1</v>
      </c>
    </row>
    <row r="29" spans="1:39" s="283" customFormat="1" ht="15" outlineLevel="1">
      <c r="A29" s="504"/>
      <c r="B29" s="294" t="s">
        <v>214</v>
      </c>
      <c r="C29" s="291" t="s">
        <v>163</v>
      </c>
      <c r="D29" s="295">
        <f>+'7.  Persistence Report'!AQ70+'7.  Persistence Report'!AQ74</f>
        <v>-193005.77698847844</v>
      </c>
      <c r="E29" s="295">
        <f>+'7.  Persistence Report'!AR70+'7.  Persistence Report'!AR74</f>
        <v>-193005.77698847844</v>
      </c>
      <c r="F29" s="295">
        <f>+'7.  Persistence Report'!AS70+'7.  Persistence Report'!AS74</f>
        <v>-193005.77698847844</v>
      </c>
      <c r="G29" s="295">
        <f>+'7.  Persistence Report'!AT70+'7.  Persistence Report'!AT74</f>
        <v>-193005.77698847844</v>
      </c>
      <c r="H29" s="295">
        <f>+'7.  Persistence Report'!AU70+'7.  Persistence Report'!AU74</f>
        <v>-193005.77698847844</v>
      </c>
      <c r="I29" s="295">
        <f>+'7.  Persistence Report'!AV70+'7.  Persistence Report'!AV74</f>
        <v>-193005.77698847844</v>
      </c>
      <c r="J29" s="295">
        <f>+'7.  Persistence Report'!AW70+'7.  Persistence Report'!AW74</f>
        <v>-193005.77698847844</v>
      </c>
      <c r="K29" s="295">
        <f>+'7.  Persistence Report'!AX70+'7.  Persistence Report'!AX74</f>
        <v>-193005.77698847844</v>
      </c>
      <c r="L29" s="295">
        <f>+'7.  Persistence Report'!AY70+'7.  Persistence Report'!AY74</f>
        <v>-193005.77698847844</v>
      </c>
      <c r="M29" s="295">
        <f>+'7.  Persistence Report'!AZ70+'7.  Persistence Report'!AZ74</f>
        <v>-193005.77698847844</v>
      </c>
      <c r="N29" s="759"/>
      <c r="O29" s="295">
        <f>+'7.  Persistence Report'!L70+'7.  Persistence Report'!L74</f>
        <v>-107.17060772685525</v>
      </c>
      <c r="P29" s="295">
        <f>+'7.  Persistence Report'!M70+'7.  Persistence Report'!M74</f>
        <v>-107.17060772685525</v>
      </c>
      <c r="Q29" s="295">
        <f>+'7.  Persistence Report'!N70+'7.  Persistence Report'!N74</f>
        <v>-107.17060772685525</v>
      </c>
      <c r="R29" s="295">
        <f>+'7.  Persistence Report'!O70+'7.  Persistence Report'!O74</f>
        <v>-107.17060772685525</v>
      </c>
      <c r="S29" s="295">
        <f>+'7.  Persistence Report'!P70+'7.  Persistence Report'!P74</f>
        <v>-107.17060772685525</v>
      </c>
      <c r="T29" s="295">
        <f>+'7.  Persistence Report'!Q70+'7.  Persistence Report'!Q74</f>
        <v>-107.17060772685525</v>
      </c>
      <c r="U29" s="295">
        <f>+'7.  Persistence Report'!R70+'7.  Persistence Report'!R74</f>
        <v>-107.17060772685525</v>
      </c>
      <c r="V29" s="295">
        <f>+'7.  Persistence Report'!S70+'7.  Persistence Report'!S74</f>
        <v>-107.17060772685525</v>
      </c>
      <c r="W29" s="295">
        <f>+'7.  Persistence Report'!T70+'7.  Persistence Report'!T74</f>
        <v>-107.17060772685525</v>
      </c>
      <c r="X29" s="295">
        <f>+'7.  Persistence Report'!U70+'7.  Persistence Report'!U74</f>
        <v>-107.17060772685525</v>
      </c>
      <c r="Y29" s="776">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7"/>
    </row>
    <row r="30" spans="1:39" s="283" customFormat="1" ht="15" outlineLevel="1">
      <c r="A30" s="504"/>
      <c r="B30" s="294"/>
      <c r="C30" s="305"/>
      <c r="D30" s="758"/>
      <c r="E30" s="758"/>
      <c r="F30" s="758"/>
      <c r="G30" s="758"/>
      <c r="H30" s="758"/>
      <c r="I30" s="758"/>
      <c r="J30" s="758"/>
      <c r="K30" s="758"/>
      <c r="L30" s="758"/>
      <c r="M30" s="758"/>
      <c r="O30" s="758"/>
      <c r="P30" s="758"/>
      <c r="Q30" s="758"/>
      <c r="R30" s="758"/>
      <c r="S30" s="758"/>
      <c r="T30" s="758"/>
      <c r="U30" s="758"/>
      <c r="V30" s="758"/>
      <c r="W30" s="758"/>
      <c r="X30" s="758"/>
      <c r="Y30" s="777"/>
      <c r="Z30" s="411"/>
      <c r="AA30" s="411"/>
      <c r="AB30" s="411"/>
      <c r="AC30" s="411"/>
      <c r="AD30" s="411"/>
      <c r="AE30" s="411"/>
      <c r="AF30" s="411"/>
      <c r="AG30" s="411"/>
      <c r="AH30" s="411"/>
      <c r="AI30" s="411"/>
      <c r="AJ30" s="411"/>
      <c r="AK30" s="411"/>
      <c r="AL30" s="411"/>
      <c r="AM30" s="306"/>
    </row>
    <row r="31" spans="1:39" s="283" customFormat="1" ht="15" outlineLevel="1">
      <c r="A31" s="504">
        <v>4</v>
      </c>
      <c r="B31" s="294" t="s">
        <v>4</v>
      </c>
      <c r="C31" s="291" t="s">
        <v>25</v>
      </c>
      <c r="D31" s="295">
        <f>+'7.  Persistence Report'!AQ53</f>
        <v>305679.32824966602</v>
      </c>
      <c r="E31" s="295">
        <f>+'7.  Persistence Report'!AR53</f>
        <v>305679.32824966602</v>
      </c>
      <c r="F31" s="295">
        <f>+'7.  Persistence Report'!AS53</f>
        <v>305679.32824966602</v>
      </c>
      <c r="G31" s="295">
        <f>+'7.  Persistence Report'!AT53</f>
        <v>305679.32824966602</v>
      </c>
      <c r="H31" s="295">
        <f>+'7.  Persistence Report'!AU53</f>
        <v>281153.61406826472</v>
      </c>
      <c r="I31" s="295">
        <f>+'7.  Persistence Report'!AV53</f>
        <v>254360.30442043647</v>
      </c>
      <c r="J31" s="295">
        <f>+'7.  Persistence Report'!AW53</f>
        <v>198790.205311086</v>
      </c>
      <c r="K31" s="295">
        <f>+'7.  Persistence Report'!AX53</f>
        <v>197510.35249098376</v>
      </c>
      <c r="L31" s="295">
        <f>+'7.  Persistence Report'!AY53</f>
        <v>248829.37632021334</v>
      </c>
      <c r="M31" s="295">
        <f>+'7.  Persistence Report'!AZ53</f>
        <v>94800.150841188326</v>
      </c>
      <c r="N31" s="758"/>
      <c r="O31" s="295">
        <f>+'7.  Persistence Report'!L53</f>
        <v>18.901692690209543</v>
      </c>
      <c r="P31" s="295">
        <f>+'7.  Persistence Report'!M53</f>
        <v>18.901692690209543</v>
      </c>
      <c r="Q31" s="295">
        <f>+'7.  Persistence Report'!N53</f>
        <v>18.901692690209543</v>
      </c>
      <c r="R31" s="295">
        <f>+'7.  Persistence Report'!O53</f>
        <v>18.901692690209543</v>
      </c>
      <c r="S31" s="295">
        <f>+'7.  Persistence Report'!P53</f>
        <v>17.766079770228057</v>
      </c>
      <c r="T31" s="295">
        <f>+'7.  Persistence Report'!Q53</f>
        <v>16.525470490510845</v>
      </c>
      <c r="U31" s="295">
        <f>+'7.  Persistence Report'!R53</f>
        <v>13.952410964232683</v>
      </c>
      <c r="V31" s="295">
        <f>+'7.  Persistence Report'!S53</f>
        <v>13.806309044129691</v>
      </c>
      <c r="W31" s="295">
        <f>+'7.  Persistence Report'!T53</f>
        <v>16.182531243828382</v>
      </c>
      <c r="X31" s="295">
        <f>+'7.  Persistence Report'!U53</f>
        <v>9.05052370207172</v>
      </c>
      <c r="Y31" s="772">
        <v>1</v>
      </c>
      <c r="Z31" s="409"/>
      <c r="AA31" s="409"/>
      <c r="AB31" s="409"/>
      <c r="AC31" s="409"/>
      <c r="AD31" s="409"/>
      <c r="AE31" s="409"/>
      <c r="AF31" s="409"/>
      <c r="AG31" s="409"/>
      <c r="AH31" s="409"/>
      <c r="AI31" s="409"/>
      <c r="AJ31" s="409"/>
      <c r="AK31" s="409"/>
      <c r="AL31" s="409"/>
      <c r="AM31" s="296">
        <f>SUM(Y31:AL31)</f>
        <v>1</v>
      </c>
    </row>
    <row r="32" spans="1:39" s="283" customFormat="1" ht="15" outlineLevel="1">
      <c r="A32" s="504"/>
      <c r="B32" s="294" t="s">
        <v>214</v>
      </c>
      <c r="C32" s="291" t="s">
        <v>163</v>
      </c>
      <c r="D32" s="295">
        <f>+'7.  Persistence Report'!AQ72</f>
        <v>4495.9657689369305</v>
      </c>
      <c r="E32" s="295">
        <f>+'7.  Persistence Report'!AR72</f>
        <v>4495.9657689369305</v>
      </c>
      <c r="F32" s="295">
        <f>+'7.  Persistence Report'!AS72</f>
        <v>4495.9657689369305</v>
      </c>
      <c r="G32" s="295">
        <f>+'7.  Persistence Report'!AT72</f>
        <v>4495.9657689369305</v>
      </c>
      <c r="H32" s="295">
        <f>+'7.  Persistence Report'!AU72</f>
        <v>4495.9657689369305</v>
      </c>
      <c r="I32" s="295">
        <f>+'7.  Persistence Report'!AV72</f>
        <v>4107.8775058714928</v>
      </c>
      <c r="J32" s="295">
        <f>+'7.  Persistence Report'!AW72</f>
        <v>2520.14733824717</v>
      </c>
      <c r="K32" s="295">
        <f>+'7.  Persistence Report'!AX72</f>
        <v>2516.716097442606</v>
      </c>
      <c r="L32" s="295">
        <f>+'7.  Persistence Report'!AY72</f>
        <v>2516.716097442606</v>
      </c>
      <c r="M32" s="295">
        <f>+'7.  Persistence Report'!AZ72</f>
        <v>891.45766612655893</v>
      </c>
      <c r="N32" s="759"/>
      <c r="O32" s="295">
        <f>+'7.  Persistence Report'!L72</f>
        <v>0.26257633623855814</v>
      </c>
      <c r="P32" s="295">
        <f>+'7.  Persistence Report'!M72</f>
        <v>0.26257633623855814</v>
      </c>
      <c r="Q32" s="295">
        <f>+'7.  Persistence Report'!N72</f>
        <v>0.26257633623855814</v>
      </c>
      <c r="R32" s="295">
        <f>+'7.  Persistence Report'!O72</f>
        <v>0.26257633623855814</v>
      </c>
      <c r="S32" s="295">
        <f>+'7.  Persistence Report'!P72</f>
        <v>0.26257633623855814</v>
      </c>
      <c r="T32" s="295">
        <f>+'7.  Persistence Report'!Q72</f>
        <v>0.24460670475828517</v>
      </c>
      <c r="U32" s="295">
        <f>+'7.  Persistence Report'!R72</f>
        <v>0.17109011402977262</v>
      </c>
      <c r="V32" s="295">
        <f>+'7.  Persistence Report'!S72</f>
        <v>0.17069841987400053</v>
      </c>
      <c r="W32" s="295">
        <f>+'7.  Persistence Report'!T72</f>
        <v>0.17069841987400053</v>
      </c>
      <c r="X32" s="295">
        <f>+'7.  Persistence Report'!U72</f>
        <v>9.544415982431842E-2</v>
      </c>
      <c r="Y32" s="776">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7"/>
    </row>
    <row r="33" spans="1:39" s="283" customFormat="1" ht="15" outlineLevel="1">
      <c r="A33" s="504"/>
      <c r="B33" s="294"/>
      <c r="C33" s="305"/>
      <c r="D33" s="760"/>
      <c r="E33" s="760"/>
      <c r="F33" s="760"/>
      <c r="G33" s="760"/>
      <c r="H33" s="760"/>
      <c r="I33" s="760"/>
      <c r="J33" s="760"/>
      <c r="K33" s="760"/>
      <c r="L33" s="760"/>
      <c r="M33" s="760"/>
      <c r="N33" s="758"/>
      <c r="O33" s="760"/>
      <c r="P33" s="760"/>
      <c r="Q33" s="760"/>
      <c r="R33" s="760"/>
      <c r="S33" s="760"/>
      <c r="T33" s="760"/>
      <c r="U33" s="760"/>
      <c r="V33" s="760"/>
      <c r="W33" s="760"/>
      <c r="X33" s="760"/>
      <c r="Y33" s="777"/>
      <c r="Z33" s="411"/>
      <c r="AA33" s="411"/>
      <c r="AB33" s="411"/>
      <c r="AC33" s="411"/>
      <c r="AD33" s="411"/>
      <c r="AE33" s="411"/>
      <c r="AF33" s="411"/>
      <c r="AG33" s="411"/>
      <c r="AH33" s="411"/>
      <c r="AI33" s="411"/>
      <c r="AJ33" s="411"/>
      <c r="AK33" s="411"/>
      <c r="AL33" s="411"/>
      <c r="AM33" s="306"/>
    </row>
    <row r="34" spans="1:39" s="283" customFormat="1" ht="15" outlineLevel="1">
      <c r="A34" s="504">
        <v>5</v>
      </c>
      <c r="B34" s="294" t="s">
        <v>5</v>
      </c>
      <c r="C34" s="291" t="s">
        <v>25</v>
      </c>
      <c r="D34" s="295">
        <f>+'7.  Persistence Report'!AQ52</f>
        <v>479312.86223310482</v>
      </c>
      <c r="E34" s="295">
        <f>+'7.  Persistence Report'!AR52</f>
        <v>479312.86223310482</v>
      </c>
      <c r="F34" s="295">
        <f>+'7.  Persistence Report'!AS52</f>
        <v>479312.86223310482</v>
      </c>
      <c r="G34" s="295">
        <f>+'7.  Persistence Report'!AT52</f>
        <v>479312.86223310482</v>
      </c>
      <c r="H34" s="295">
        <f>+'7.  Persistence Report'!AU52</f>
        <v>438056.65717455623</v>
      </c>
      <c r="I34" s="295">
        <f>+'7.  Persistence Report'!AV52</f>
        <v>392985.99098102079</v>
      </c>
      <c r="J34" s="295">
        <f>+'7.  Persistence Report'!AW52</f>
        <v>296286.38496809878</v>
      </c>
      <c r="K34" s="295">
        <f>+'7.  Persistence Report'!AX52</f>
        <v>295205.54411466123</v>
      </c>
      <c r="L34" s="295">
        <f>+'7.  Persistence Report'!AY52</f>
        <v>381532.41536674538</v>
      </c>
      <c r="M34" s="295">
        <f>+'7.  Persistence Report'!AZ52</f>
        <v>122430.42696507648</v>
      </c>
      <c r="N34" s="758"/>
      <c r="O34" s="295">
        <f>+'7.  Persistence Report'!L52</f>
        <v>27.4250937914513</v>
      </c>
      <c r="P34" s="295">
        <f>+'7.  Persistence Report'!M52</f>
        <v>27.4250937914513</v>
      </c>
      <c r="Q34" s="295">
        <f>+'7.  Persistence Report'!N52</f>
        <v>27.4250937914513</v>
      </c>
      <c r="R34" s="295">
        <f>+'7.  Persistence Report'!O52</f>
        <v>27.4250937914513</v>
      </c>
      <c r="S34" s="295">
        <f>+'7.  Persistence Report'!P52</f>
        <v>25.51480978718682</v>
      </c>
      <c r="T34" s="295">
        <f>+'7.  Persistence Report'!Q52</f>
        <v>23.427904979319269</v>
      </c>
      <c r="U34" s="295">
        <f>+'7.  Persistence Report'!R52</f>
        <v>18.950427947124663</v>
      </c>
      <c r="V34" s="295">
        <f>+'7.  Persistence Report'!S52</f>
        <v>18.827044288056452</v>
      </c>
      <c r="W34" s="295">
        <f>+'7.  Persistence Report'!T52</f>
        <v>22.824233100188486</v>
      </c>
      <c r="X34" s="295">
        <f>+'7.  Persistence Report'!U52</f>
        <v>10.827046659641892</v>
      </c>
      <c r="Y34" s="772">
        <v>1</v>
      </c>
      <c r="Z34" s="409"/>
      <c r="AA34" s="409"/>
      <c r="AB34" s="409"/>
      <c r="AC34" s="409"/>
      <c r="AD34" s="409"/>
      <c r="AE34" s="409"/>
      <c r="AF34" s="409"/>
      <c r="AG34" s="409"/>
      <c r="AH34" s="409"/>
      <c r="AI34" s="409"/>
      <c r="AJ34" s="409"/>
      <c r="AK34" s="409"/>
      <c r="AL34" s="409"/>
      <c r="AM34" s="296">
        <f>SUM(Y34:AL34)</f>
        <v>1</v>
      </c>
    </row>
    <row r="35" spans="1:39" s="283" customFormat="1" ht="15" outlineLevel="1">
      <c r="A35" s="504"/>
      <c r="B35" s="294" t="s">
        <v>214</v>
      </c>
      <c r="C35" s="291" t="s">
        <v>163</v>
      </c>
      <c r="D35" s="295">
        <f>+'7.  Persistence Report'!AQ71</f>
        <v>35611.345083591696</v>
      </c>
      <c r="E35" s="295">
        <f>+'7.  Persistence Report'!AR71</f>
        <v>35611.345083591696</v>
      </c>
      <c r="F35" s="295">
        <f>+'7.  Persistence Report'!AS71</f>
        <v>35611.345083591696</v>
      </c>
      <c r="G35" s="295">
        <f>+'7.  Persistence Report'!AT71</f>
        <v>35611.345083591696</v>
      </c>
      <c r="H35" s="295">
        <f>+'7.  Persistence Report'!AU71</f>
        <v>35611.345083591696</v>
      </c>
      <c r="I35" s="295">
        <f>+'7.  Persistence Report'!AV71</f>
        <v>32360.505187270915</v>
      </c>
      <c r="J35" s="295">
        <f>+'7.  Persistence Report'!AW71</f>
        <v>17471.085814325073</v>
      </c>
      <c r="K35" s="295">
        <f>+'7.  Persistence Report'!AX71</f>
        <v>17467.526522174314</v>
      </c>
      <c r="L35" s="295">
        <f>+'7.  Persistence Report'!AY71</f>
        <v>17467.526522174314</v>
      </c>
      <c r="M35" s="295">
        <f>+'7.  Persistence Report'!AZ71</f>
        <v>3853.4715424619794</v>
      </c>
      <c r="N35" s="759"/>
      <c r="O35" s="295">
        <f>+'7.  Persistence Report'!L71</f>
        <v>1.7592749373159335</v>
      </c>
      <c r="P35" s="295">
        <f>+'7.  Persistence Report'!M71</f>
        <v>1.7592749373159335</v>
      </c>
      <c r="Q35" s="295">
        <f>+'7.  Persistence Report'!N71</f>
        <v>1.7592749373159335</v>
      </c>
      <c r="R35" s="295">
        <f>+'7.  Persistence Report'!O71</f>
        <v>1.7592749373159335</v>
      </c>
      <c r="S35" s="295">
        <f>+'7.  Persistence Report'!P71</f>
        <v>1.7592749373159335</v>
      </c>
      <c r="T35" s="295">
        <f>+'7.  Persistence Report'!Q71</f>
        <v>1.6087514598038006</v>
      </c>
      <c r="U35" s="295">
        <f>+'7.  Persistence Report'!R71</f>
        <v>0.91932741751587566</v>
      </c>
      <c r="V35" s="295">
        <f>+'7.  Persistence Report'!S71</f>
        <v>0.91892110562651985</v>
      </c>
      <c r="W35" s="295">
        <f>+'7.  Persistence Report'!T71</f>
        <v>0.91892110562651985</v>
      </c>
      <c r="X35" s="295">
        <f>+'7.  Persistence Report'!U71</f>
        <v>0.28855019720160946</v>
      </c>
      <c r="Y35" s="776">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7"/>
    </row>
    <row r="36" spans="1:39" s="283" customFormat="1" ht="15" outlineLevel="1">
      <c r="A36" s="504"/>
      <c r="B36" s="294"/>
      <c r="C36" s="305"/>
      <c r="D36" s="760"/>
      <c r="E36" s="760"/>
      <c r="F36" s="760"/>
      <c r="G36" s="760"/>
      <c r="H36" s="760"/>
      <c r="I36" s="760"/>
      <c r="J36" s="760"/>
      <c r="K36" s="760"/>
      <c r="L36" s="760"/>
      <c r="M36" s="760"/>
      <c r="N36" s="758"/>
      <c r="O36" s="760"/>
      <c r="P36" s="760"/>
      <c r="Q36" s="760"/>
      <c r="R36" s="760"/>
      <c r="S36" s="760"/>
      <c r="T36" s="760"/>
      <c r="U36" s="760"/>
      <c r="V36" s="760"/>
      <c r="W36" s="760"/>
      <c r="X36" s="760"/>
      <c r="Y36" s="777"/>
      <c r="Z36" s="411"/>
      <c r="AA36" s="411"/>
      <c r="AB36" s="411"/>
      <c r="AC36" s="411"/>
      <c r="AD36" s="411"/>
      <c r="AE36" s="411"/>
      <c r="AF36" s="411"/>
      <c r="AG36" s="411"/>
      <c r="AH36" s="411"/>
      <c r="AI36" s="411"/>
      <c r="AJ36" s="411"/>
      <c r="AK36" s="411"/>
      <c r="AL36" s="411"/>
      <c r="AM36" s="306"/>
    </row>
    <row r="37" spans="1:39" s="283" customFormat="1" ht="15" outlineLevel="1">
      <c r="A37" s="504">
        <v>6</v>
      </c>
      <c r="B37" s="294" t="s">
        <v>6</v>
      </c>
      <c r="C37" s="291" t="s">
        <v>25</v>
      </c>
      <c r="D37" s="295"/>
      <c r="E37" s="295"/>
      <c r="F37" s="295"/>
      <c r="G37" s="295"/>
      <c r="H37" s="295"/>
      <c r="I37" s="295"/>
      <c r="J37" s="295"/>
      <c r="K37" s="295"/>
      <c r="L37" s="295"/>
      <c r="M37" s="295"/>
      <c r="N37" s="758"/>
      <c r="O37" s="295"/>
      <c r="P37" s="295"/>
      <c r="Q37" s="295"/>
      <c r="R37" s="295"/>
      <c r="S37" s="295"/>
      <c r="T37" s="295"/>
      <c r="U37" s="295"/>
      <c r="V37" s="295"/>
      <c r="W37" s="295"/>
      <c r="X37" s="295"/>
      <c r="Y37" s="772"/>
      <c r="Z37" s="409"/>
      <c r="AA37" s="409"/>
      <c r="AB37" s="409"/>
      <c r="AC37" s="409"/>
      <c r="AD37" s="409"/>
      <c r="AE37" s="409"/>
      <c r="AF37" s="409"/>
      <c r="AG37" s="409"/>
      <c r="AH37" s="409"/>
      <c r="AI37" s="409"/>
      <c r="AJ37" s="409"/>
      <c r="AK37" s="409"/>
      <c r="AL37" s="409"/>
      <c r="AM37" s="296">
        <f>SUM(Y37:AL37)</f>
        <v>0</v>
      </c>
    </row>
    <row r="38" spans="1:39" s="283" customFormat="1" ht="15" outlineLevel="1">
      <c r="A38" s="504"/>
      <c r="B38" s="294" t="s">
        <v>214</v>
      </c>
      <c r="C38" s="291" t="s">
        <v>163</v>
      </c>
      <c r="D38" s="295"/>
      <c r="E38" s="295"/>
      <c r="F38" s="295"/>
      <c r="G38" s="295"/>
      <c r="H38" s="295"/>
      <c r="I38" s="295"/>
      <c r="J38" s="295"/>
      <c r="K38" s="295"/>
      <c r="L38" s="295"/>
      <c r="M38" s="295"/>
      <c r="N38" s="759"/>
      <c r="O38" s="295"/>
      <c r="P38" s="295"/>
      <c r="Q38" s="295"/>
      <c r="R38" s="295"/>
      <c r="S38" s="295"/>
      <c r="T38" s="295"/>
      <c r="U38" s="295"/>
      <c r="V38" s="295"/>
      <c r="W38" s="295"/>
      <c r="X38" s="295"/>
      <c r="Y38" s="776">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7"/>
    </row>
    <row r="39" spans="1:39" s="283" customFormat="1" ht="15" outlineLevel="1">
      <c r="A39" s="504"/>
      <c r="B39" s="294"/>
      <c r="C39" s="305"/>
      <c r="D39" s="760"/>
      <c r="E39" s="760"/>
      <c r="F39" s="760"/>
      <c r="G39" s="760"/>
      <c r="H39" s="760"/>
      <c r="I39" s="760"/>
      <c r="J39" s="760"/>
      <c r="K39" s="760"/>
      <c r="L39" s="760"/>
      <c r="M39" s="760"/>
      <c r="N39" s="758"/>
      <c r="O39" s="760"/>
      <c r="P39" s="760"/>
      <c r="Q39" s="760"/>
      <c r="R39" s="760"/>
      <c r="S39" s="760"/>
      <c r="T39" s="760"/>
      <c r="U39" s="760"/>
      <c r="V39" s="760"/>
      <c r="W39" s="760"/>
      <c r="X39" s="760"/>
      <c r="Y39" s="777"/>
      <c r="Z39" s="411"/>
      <c r="AA39" s="411"/>
      <c r="AB39" s="411"/>
      <c r="AC39" s="411"/>
      <c r="AD39" s="411"/>
      <c r="AE39" s="411"/>
      <c r="AF39" s="411"/>
      <c r="AG39" s="411"/>
      <c r="AH39" s="411"/>
      <c r="AI39" s="411"/>
      <c r="AJ39" s="411"/>
      <c r="AK39" s="411"/>
      <c r="AL39" s="411"/>
      <c r="AM39" s="306"/>
    </row>
    <row r="40" spans="1:39" s="283" customFormat="1" ht="15" outlineLevel="1">
      <c r="A40" s="504">
        <v>7</v>
      </c>
      <c r="B40" s="294" t="s">
        <v>42</v>
      </c>
      <c r="C40" s="291" t="s">
        <v>25</v>
      </c>
      <c r="D40" s="295"/>
      <c r="E40" s="295"/>
      <c r="F40" s="295"/>
      <c r="G40" s="295"/>
      <c r="H40" s="295"/>
      <c r="I40" s="295"/>
      <c r="J40" s="295"/>
      <c r="K40" s="295"/>
      <c r="L40" s="295"/>
      <c r="M40" s="295"/>
      <c r="N40" s="758"/>
      <c r="O40" s="295">
        <f>+'7.  Persistence Report'!L55</f>
        <v>151.76000000000002</v>
      </c>
      <c r="P40" s="295">
        <f>+'7.  Persistence Report'!M55</f>
        <v>0</v>
      </c>
      <c r="Q40" s="295">
        <f>+'7.  Persistence Report'!N55</f>
        <v>0</v>
      </c>
      <c r="R40" s="295">
        <f>+'7.  Persistence Report'!O55</f>
        <v>0</v>
      </c>
      <c r="S40" s="295">
        <f>+'7.  Persistence Report'!P55</f>
        <v>0</v>
      </c>
      <c r="T40" s="295">
        <f>+'7.  Persistence Report'!Q55</f>
        <v>0</v>
      </c>
      <c r="U40" s="295">
        <f>+'7.  Persistence Report'!R55</f>
        <v>0</v>
      </c>
      <c r="V40" s="295">
        <f>+'7.  Persistence Report'!S55</f>
        <v>0</v>
      </c>
      <c r="W40" s="295">
        <f>+'7.  Persistence Report'!T55</f>
        <v>0</v>
      </c>
      <c r="X40" s="295">
        <f>+'7.  Persistence Report'!U55</f>
        <v>0</v>
      </c>
      <c r="Y40" s="772">
        <v>1</v>
      </c>
      <c r="Z40" s="409"/>
      <c r="AA40" s="409"/>
      <c r="AB40" s="409"/>
      <c r="AC40" s="409"/>
      <c r="AD40" s="409"/>
      <c r="AE40" s="409"/>
      <c r="AF40" s="409"/>
      <c r="AG40" s="409"/>
      <c r="AH40" s="409"/>
      <c r="AI40" s="409"/>
      <c r="AJ40" s="409"/>
      <c r="AK40" s="409"/>
      <c r="AL40" s="409"/>
      <c r="AM40" s="296">
        <f>SUM(Y40:AL40)</f>
        <v>1</v>
      </c>
    </row>
    <row r="41" spans="1:39" s="283" customFormat="1" ht="15" outlineLevel="1">
      <c r="A41" s="504"/>
      <c r="B41" s="294" t="s">
        <v>214</v>
      </c>
      <c r="C41" s="291" t="s">
        <v>163</v>
      </c>
      <c r="D41" s="295"/>
      <c r="E41" s="295"/>
      <c r="F41" s="295"/>
      <c r="G41" s="295"/>
      <c r="H41" s="295"/>
      <c r="I41" s="295"/>
      <c r="J41" s="295"/>
      <c r="K41" s="295"/>
      <c r="L41" s="295"/>
      <c r="M41" s="295"/>
      <c r="N41" s="758"/>
      <c r="O41" s="295"/>
      <c r="P41" s="295"/>
      <c r="Q41" s="295"/>
      <c r="R41" s="295"/>
      <c r="S41" s="295"/>
      <c r="T41" s="295"/>
      <c r="U41" s="295"/>
      <c r="V41" s="295"/>
      <c r="W41" s="295"/>
      <c r="X41" s="295"/>
      <c r="Y41" s="776">
        <f>Y40</f>
        <v>1</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7"/>
    </row>
    <row r="42" spans="1:39" s="283" customFormat="1" ht="15" outlineLevel="1">
      <c r="A42" s="504"/>
      <c r="B42" s="294"/>
      <c r="C42" s="305"/>
      <c r="D42" s="760"/>
      <c r="E42" s="760"/>
      <c r="F42" s="760"/>
      <c r="G42" s="760"/>
      <c r="H42" s="760"/>
      <c r="I42" s="760"/>
      <c r="J42" s="760"/>
      <c r="K42" s="760"/>
      <c r="L42" s="760"/>
      <c r="M42" s="760"/>
      <c r="N42" s="758"/>
      <c r="O42" s="760"/>
      <c r="P42" s="760"/>
      <c r="Q42" s="760"/>
      <c r="R42" s="760"/>
      <c r="S42" s="760"/>
      <c r="T42" s="760"/>
      <c r="U42" s="760"/>
      <c r="V42" s="760"/>
      <c r="W42" s="760"/>
      <c r="X42" s="760"/>
      <c r="Y42" s="777"/>
      <c r="Z42" s="411"/>
      <c r="AA42" s="411"/>
      <c r="AB42" s="411"/>
      <c r="AC42" s="411"/>
      <c r="AD42" s="411"/>
      <c r="AE42" s="411"/>
      <c r="AF42" s="411"/>
      <c r="AG42" s="411"/>
      <c r="AH42" s="411"/>
      <c r="AI42" s="411"/>
      <c r="AJ42" s="411"/>
      <c r="AK42" s="411"/>
      <c r="AL42" s="411"/>
      <c r="AM42" s="306"/>
    </row>
    <row r="43" spans="1:39" s="283" customFormat="1" ht="15" outlineLevel="1">
      <c r="A43" s="504">
        <v>8</v>
      </c>
      <c r="B43" s="294" t="s">
        <v>485</v>
      </c>
      <c r="C43" s="291" t="s">
        <v>25</v>
      </c>
      <c r="D43" s="295"/>
      <c r="E43" s="295"/>
      <c r="F43" s="295"/>
      <c r="G43" s="295"/>
      <c r="H43" s="295"/>
      <c r="I43" s="295"/>
      <c r="J43" s="295"/>
      <c r="K43" s="295"/>
      <c r="L43" s="295"/>
      <c r="M43" s="295"/>
      <c r="N43" s="758"/>
      <c r="O43" s="295"/>
      <c r="P43" s="295"/>
      <c r="Q43" s="295"/>
      <c r="R43" s="295"/>
      <c r="S43" s="295"/>
      <c r="T43" s="295"/>
      <c r="U43" s="295"/>
      <c r="V43" s="295"/>
      <c r="W43" s="295"/>
      <c r="X43" s="295"/>
      <c r="Y43" s="772"/>
      <c r="Z43" s="409"/>
      <c r="AA43" s="409"/>
      <c r="AB43" s="409"/>
      <c r="AC43" s="409"/>
      <c r="AD43" s="409"/>
      <c r="AE43" s="409"/>
      <c r="AF43" s="409"/>
      <c r="AG43" s="409"/>
      <c r="AH43" s="409"/>
      <c r="AI43" s="409"/>
      <c r="AJ43" s="409"/>
      <c r="AK43" s="409"/>
      <c r="AL43" s="409"/>
      <c r="AM43" s="296">
        <f>SUM(Y43:AL43)</f>
        <v>0</v>
      </c>
    </row>
    <row r="44" spans="1:39" s="283" customFormat="1" ht="15" outlineLevel="1">
      <c r="A44" s="504"/>
      <c r="B44" s="294" t="s">
        <v>214</v>
      </c>
      <c r="C44" s="291" t="s">
        <v>163</v>
      </c>
      <c r="D44" s="295"/>
      <c r="E44" s="295"/>
      <c r="F44" s="295"/>
      <c r="G44" s="295"/>
      <c r="H44" s="295"/>
      <c r="I44" s="295"/>
      <c r="J44" s="295"/>
      <c r="K44" s="295"/>
      <c r="L44" s="295"/>
      <c r="M44" s="295"/>
      <c r="N44" s="758"/>
      <c r="O44" s="295"/>
      <c r="P44" s="295"/>
      <c r="Q44" s="295"/>
      <c r="R44" s="295"/>
      <c r="S44" s="295"/>
      <c r="T44" s="295"/>
      <c r="U44" s="295"/>
      <c r="V44" s="295"/>
      <c r="W44" s="295"/>
      <c r="X44" s="295"/>
      <c r="Y44" s="776">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7"/>
    </row>
    <row r="45" spans="1:39" s="283" customFormat="1" ht="15" outlineLevel="1">
      <c r="A45" s="504"/>
      <c r="B45" s="294"/>
      <c r="C45" s="305"/>
      <c r="D45" s="760"/>
      <c r="E45" s="760"/>
      <c r="F45" s="760"/>
      <c r="G45" s="760"/>
      <c r="H45" s="760"/>
      <c r="I45" s="760"/>
      <c r="J45" s="760"/>
      <c r="K45" s="760"/>
      <c r="L45" s="760"/>
      <c r="M45" s="760"/>
      <c r="N45" s="758"/>
      <c r="O45" s="760"/>
      <c r="P45" s="760"/>
      <c r="Q45" s="760"/>
      <c r="R45" s="760"/>
      <c r="S45" s="760"/>
      <c r="T45" s="760"/>
      <c r="U45" s="760"/>
      <c r="V45" s="760"/>
      <c r="W45" s="760"/>
      <c r="X45" s="760"/>
      <c r="Y45" s="777"/>
      <c r="Z45" s="411"/>
      <c r="AA45" s="411"/>
      <c r="AB45" s="411"/>
      <c r="AC45" s="411"/>
      <c r="AD45" s="411"/>
      <c r="AE45" s="411"/>
      <c r="AF45" s="411"/>
      <c r="AG45" s="411"/>
      <c r="AH45" s="411"/>
      <c r="AI45" s="411"/>
      <c r="AJ45" s="411"/>
      <c r="AK45" s="411"/>
      <c r="AL45" s="411"/>
      <c r="AM45" s="306"/>
    </row>
    <row r="46" spans="1:39" s="283" customFormat="1" ht="15" outlineLevel="1">
      <c r="A46" s="504">
        <v>9</v>
      </c>
      <c r="B46" s="294" t="s">
        <v>7</v>
      </c>
      <c r="C46" s="291" t="s">
        <v>25</v>
      </c>
      <c r="D46" s="295"/>
      <c r="E46" s="295"/>
      <c r="F46" s="295"/>
      <c r="G46" s="295"/>
      <c r="H46" s="295"/>
      <c r="I46" s="295"/>
      <c r="J46" s="295"/>
      <c r="K46" s="295"/>
      <c r="L46" s="295"/>
      <c r="M46" s="295"/>
      <c r="N46" s="758"/>
      <c r="O46" s="295"/>
      <c r="P46" s="295"/>
      <c r="Q46" s="295"/>
      <c r="R46" s="295"/>
      <c r="S46" s="295"/>
      <c r="T46" s="295"/>
      <c r="U46" s="295"/>
      <c r="V46" s="295"/>
      <c r="W46" s="295"/>
      <c r="X46" s="295"/>
      <c r="Y46" s="772"/>
      <c r="Z46" s="409"/>
      <c r="AA46" s="409"/>
      <c r="AB46" s="409"/>
      <c r="AC46" s="409"/>
      <c r="AD46" s="409"/>
      <c r="AE46" s="409"/>
      <c r="AF46" s="409"/>
      <c r="AG46" s="409"/>
      <c r="AH46" s="409"/>
      <c r="AI46" s="409"/>
      <c r="AJ46" s="409"/>
      <c r="AK46" s="409"/>
      <c r="AL46" s="409"/>
      <c r="AM46" s="296">
        <f>SUM(Y46:AL46)</f>
        <v>0</v>
      </c>
    </row>
    <row r="47" spans="1:39" s="283" customFormat="1" ht="15" outlineLevel="1">
      <c r="A47" s="504"/>
      <c r="B47" s="294" t="s">
        <v>214</v>
      </c>
      <c r="C47" s="291" t="s">
        <v>163</v>
      </c>
      <c r="D47" s="295"/>
      <c r="E47" s="295"/>
      <c r="F47" s="295"/>
      <c r="G47" s="295"/>
      <c r="H47" s="295"/>
      <c r="I47" s="295"/>
      <c r="J47" s="295"/>
      <c r="K47" s="295"/>
      <c r="L47" s="295"/>
      <c r="M47" s="295"/>
      <c r="N47" s="758"/>
      <c r="O47" s="295"/>
      <c r="P47" s="295"/>
      <c r="Q47" s="295"/>
      <c r="R47" s="295"/>
      <c r="S47" s="295"/>
      <c r="T47" s="295"/>
      <c r="U47" s="295"/>
      <c r="V47" s="295"/>
      <c r="W47" s="295"/>
      <c r="X47" s="295"/>
      <c r="Y47" s="776">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7"/>
    </row>
    <row r="48" spans="1:39" s="283" customFormat="1" ht="15" outlineLevel="1">
      <c r="A48" s="504"/>
      <c r="B48" s="307"/>
      <c r="C48" s="308"/>
      <c r="D48" s="758"/>
      <c r="E48" s="758"/>
      <c r="F48" s="758"/>
      <c r="G48" s="758"/>
      <c r="H48" s="758"/>
      <c r="I48" s="758"/>
      <c r="J48" s="758"/>
      <c r="K48" s="758"/>
      <c r="L48" s="758"/>
      <c r="M48" s="758"/>
      <c r="N48" s="758"/>
      <c r="O48" s="758"/>
      <c r="P48" s="758"/>
      <c r="Q48" s="758"/>
      <c r="R48" s="758"/>
      <c r="S48" s="758"/>
      <c r="T48" s="758"/>
      <c r="U48" s="758"/>
      <c r="V48" s="758"/>
      <c r="W48" s="758"/>
      <c r="X48" s="758"/>
      <c r="Y48" s="777"/>
      <c r="Z48" s="411"/>
      <c r="AA48" s="411"/>
      <c r="AB48" s="411"/>
      <c r="AC48" s="411"/>
      <c r="AD48" s="411"/>
      <c r="AE48" s="411"/>
      <c r="AF48" s="411"/>
      <c r="AG48" s="411"/>
      <c r="AH48" s="411"/>
      <c r="AI48" s="411"/>
      <c r="AJ48" s="411"/>
      <c r="AK48" s="411"/>
      <c r="AL48" s="411"/>
      <c r="AM48" s="306"/>
    </row>
    <row r="49" spans="1:42" s="293" customFormat="1" ht="15.75" outlineLevel="1">
      <c r="A49" s="505"/>
      <c r="B49" s="288" t="s">
        <v>8</v>
      </c>
      <c r="C49" s="289"/>
      <c r="D49" s="762"/>
      <c r="E49" s="762"/>
      <c r="F49" s="762"/>
      <c r="G49" s="762"/>
      <c r="H49" s="762"/>
      <c r="I49" s="762"/>
      <c r="J49" s="762"/>
      <c r="K49" s="762"/>
      <c r="L49" s="762"/>
      <c r="M49" s="762"/>
      <c r="N49" s="758"/>
      <c r="O49" s="762"/>
      <c r="P49" s="762"/>
      <c r="Q49" s="762"/>
      <c r="R49" s="762"/>
      <c r="S49" s="762"/>
      <c r="T49" s="762"/>
      <c r="U49" s="762"/>
      <c r="V49" s="762"/>
      <c r="W49" s="762"/>
      <c r="X49" s="762"/>
      <c r="Y49" s="811"/>
      <c r="Z49" s="413"/>
      <c r="AA49" s="413"/>
      <c r="AB49" s="413"/>
      <c r="AC49" s="413"/>
      <c r="AD49" s="413"/>
      <c r="AE49" s="413"/>
      <c r="AF49" s="413"/>
      <c r="AG49" s="413"/>
      <c r="AH49" s="413"/>
      <c r="AI49" s="413"/>
      <c r="AJ49" s="413"/>
      <c r="AK49" s="413"/>
      <c r="AL49" s="413"/>
      <c r="AM49" s="292"/>
      <c r="AO49" s="309"/>
      <c r="AP49" s="309"/>
    </row>
    <row r="50" spans="1:42" s="283" customFormat="1" ht="15" outlineLevel="1">
      <c r="A50" s="504">
        <v>10</v>
      </c>
      <c r="B50" s="310" t="s">
        <v>22</v>
      </c>
      <c r="C50" s="291" t="s">
        <v>25</v>
      </c>
      <c r="D50" s="295">
        <f>+'7.  Persistence Report'!AQ60</f>
        <v>3057370.0272504357</v>
      </c>
      <c r="E50" s="295">
        <f>+'7.  Persistence Report'!AR60</f>
        <v>3057370.0272504357</v>
      </c>
      <c r="F50" s="295">
        <f>+'7.  Persistence Report'!AS60</f>
        <v>3057370.0272504357</v>
      </c>
      <c r="G50" s="295">
        <f>+'7.  Persistence Report'!AT60</f>
        <v>3007414.2943077022</v>
      </c>
      <c r="H50" s="295">
        <f>+'7.  Persistence Report'!AU60</f>
        <v>2537280.8048618073</v>
      </c>
      <c r="I50" s="295">
        <f>+'7.  Persistence Report'!AV60</f>
        <v>2403938.544184349</v>
      </c>
      <c r="J50" s="295">
        <f>+'7.  Persistence Report'!AW60</f>
        <v>2266612.5896643479</v>
      </c>
      <c r="K50" s="295">
        <f>+'7.  Persistence Report'!AX60</f>
        <v>2266612.5896643479</v>
      </c>
      <c r="L50" s="295">
        <f>+'7.  Persistence Report'!AY60</f>
        <v>2049286.0523988444</v>
      </c>
      <c r="M50" s="295">
        <f>+'7.  Persistence Report'!AZ60</f>
        <v>2049286.0523988444</v>
      </c>
      <c r="N50" s="295">
        <v>12</v>
      </c>
      <c r="O50" s="295">
        <f>+'7.  Persistence Report'!L60</f>
        <v>563.68446764139082</v>
      </c>
      <c r="P50" s="295">
        <f>+'7.  Persistence Report'!M60</f>
        <v>563.68446764139082</v>
      </c>
      <c r="Q50" s="295">
        <f>+'7.  Persistence Report'!N60</f>
        <v>563.68446764139082</v>
      </c>
      <c r="R50" s="295">
        <f>+'7.  Persistence Report'!O60</f>
        <v>550.66485693248649</v>
      </c>
      <c r="S50" s="295">
        <f>+'7.  Persistence Report'!P60</f>
        <v>458.34768725125775</v>
      </c>
      <c r="T50" s="295">
        <f>+'7.  Persistence Report'!Q60</f>
        <v>423.59563332671848</v>
      </c>
      <c r="U50" s="295">
        <f>+'7.  Persistence Report'!R60</f>
        <v>387.80533734349859</v>
      </c>
      <c r="V50" s="295">
        <f>+'7.  Persistence Report'!S60</f>
        <v>387.80533734349859</v>
      </c>
      <c r="W50" s="295">
        <f>+'7.  Persistence Report'!T60</f>
        <v>330.58476652545392</v>
      </c>
      <c r="X50" s="295">
        <f>+'7.  Persistence Report'!U60</f>
        <v>330.58476652545392</v>
      </c>
      <c r="Y50" s="773"/>
      <c r="Z50" s="773">
        <v>0.14199999999999999</v>
      </c>
      <c r="AA50" s="773">
        <v>0.85799999999999998</v>
      </c>
      <c r="AB50" s="414"/>
      <c r="AC50" s="414"/>
      <c r="AD50" s="414"/>
      <c r="AE50" s="414"/>
      <c r="AF50" s="414"/>
      <c r="AG50" s="414"/>
      <c r="AH50" s="414"/>
      <c r="AI50" s="414"/>
      <c r="AJ50" s="414"/>
      <c r="AK50" s="414"/>
      <c r="AL50" s="414"/>
      <c r="AM50" s="296">
        <f>SUM(Y50:AL50)</f>
        <v>1</v>
      </c>
    </row>
    <row r="51" spans="1:42" s="283" customFormat="1" ht="15" outlineLevel="1">
      <c r="A51" s="504"/>
      <c r="B51" s="294" t="s">
        <v>214</v>
      </c>
      <c r="C51" s="291" t="s">
        <v>163</v>
      </c>
      <c r="D51" s="295">
        <f>+'7.  Persistence Report'!AQ65</f>
        <v>290598.42512504983</v>
      </c>
      <c r="E51" s="295">
        <f>+'7.  Persistence Report'!AR65</f>
        <v>290598.42512504983</v>
      </c>
      <c r="F51" s="295">
        <f>+'7.  Persistence Report'!AS65</f>
        <v>290598.42512504983</v>
      </c>
      <c r="G51" s="295">
        <f>+'7.  Persistence Report'!AT65</f>
        <v>290598.42512504983</v>
      </c>
      <c r="H51" s="295">
        <f>+'7.  Persistence Report'!AU65</f>
        <v>290598.42512504983</v>
      </c>
      <c r="I51" s="295">
        <f>+'7.  Persistence Report'!AV65</f>
        <v>290598.42512504983</v>
      </c>
      <c r="J51" s="295">
        <f>+'7.  Persistence Report'!AW65</f>
        <v>265622.06822752242</v>
      </c>
      <c r="K51" s="295">
        <f>+'7.  Persistence Report'!AX65</f>
        <v>265622.06822752242</v>
      </c>
      <c r="L51" s="295">
        <f>+'7.  Persistence Report'!AY65</f>
        <v>261285.14719191543</v>
      </c>
      <c r="M51" s="295">
        <f>+'7.  Persistence Report'!AZ65</f>
        <v>261285.14719191543</v>
      </c>
      <c r="N51" s="295">
        <f>N50</f>
        <v>12</v>
      </c>
      <c r="O51" s="295">
        <f>+'7.  Persistence Report'!L65</f>
        <v>43.586972220751875</v>
      </c>
      <c r="P51" s="295">
        <f>+'7.  Persistence Report'!M65</f>
        <v>43.586972220751875</v>
      </c>
      <c r="Q51" s="295">
        <f>+'7.  Persistence Report'!N65</f>
        <v>43.586972220751875</v>
      </c>
      <c r="R51" s="295">
        <f>+'7.  Persistence Report'!O65</f>
        <v>43.586972220751875</v>
      </c>
      <c r="S51" s="295">
        <f>+'7.  Persistence Report'!P65</f>
        <v>43.586972220751875</v>
      </c>
      <c r="T51" s="295">
        <f>+'7.  Persistence Report'!Q65</f>
        <v>43.586972220751875</v>
      </c>
      <c r="U51" s="295">
        <f>+'7.  Persistence Report'!R65</f>
        <v>37.081935229859418</v>
      </c>
      <c r="V51" s="295">
        <f>+'7.  Persistence Report'!S65</f>
        <v>37.081935229859418</v>
      </c>
      <c r="W51" s="295">
        <f>+'7.  Persistence Report'!T65</f>
        <v>35.949299506931766</v>
      </c>
      <c r="X51" s="295">
        <f>+'7.  Persistence Report'!U65</f>
        <v>35.949299506931766</v>
      </c>
      <c r="Y51" s="776">
        <f>Y50</f>
        <v>0</v>
      </c>
      <c r="Z51" s="776">
        <f>Z50</f>
        <v>0.14199999999999999</v>
      </c>
      <c r="AA51" s="776">
        <f t="shared" ref="AA51" si="9">AA50</f>
        <v>0.85799999999999998</v>
      </c>
      <c r="AB51" s="410">
        <f t="shared" ref="AB51:AL51" si="10">AB50</f>
        <v>0</v>
      </c>
      <c r="AC51" s="410">
        <f t="shared" si="10"/>
        <v>0</v>
      </c>
      <c r="AD51" s="410">
        <f t="shared" si="10"/>
        <v>0</v>
      </c>
      <c r="AE51" s="410">
        <f t="shared" si="10"/>
        <v>0</v>
      </c>
      <c r="AF51" s="410">
        <f t="shared" si="10"/>
        <v>0</v>
      </c>
      <c r="AG51" s="410">
        <f t="shared" si="10"/>
        <v>0</v>
      </c>
      <c r="AH51" s="410">
        <f t="shared" si="10"/>
        <v>0</v>
      </c>
      <c r="AI51" s="410">
        <f t="shared" si="10"/>
        <v>0</v>
      </c>
      <c r="AJ51" s="410">
        <f t="shared" si="10"/>
        <v>0</v>
      </c>
      <c r="AK51" s="410">
        <f t="shared" si="10"/>
        <v>0</v>
      </c>
      <c r="AL51" s="410">
        <f t="shared" si="10"/>
        <v>0</v>
      </c>
      <c r="AM51" s="311"/>
    </row>
    <row r="52" spans="1:42" s="283" customFormat="1" ht="15" outlineLevel="1">
      <c r="A52" s="504"/>
      <c r="B52" s="310"/>
      <c r="C52" s="312"/>
      <c r="D52" s="758"/>
      <c r="E52" s="758"/>
      <c r="F52" s="758"/>
      <c r="G52" s="758"/>
      <c r="H52" s="758"/>
      <c r="I52" s="758"/>
      <c r="J52" s="758"/>
      <c r="K52" s="758"/>
      <c r="L52" s="758"/>
      <c r="M52" s="758"/>
      <c r="N52" s="758"/>
      <c r="O52" s="758"/>
      <c r="P52" s="758"/>
      <c r="Q52" s="758"/>
      <c r="R52" s="758"/>
      <c r="S52" s="758"/>
      <c r="T52" s="758"/>
      <c r="U52" s="758"/>
      <c r="V52" s="758"/>
      <c r="W52" s="758"/>
      <c r="X52" s="758"/>
      <c r="Y52" s="812"/>
      <c r="Z52" s="812"/>
      <c r="AA52" s="812"/>
      <c r="AB52" s="415"/>
      <c r="AC52" s="415"/>
      <c r="AD52" s="415"/>
      <c r="AE52" s="415"/>
      <c r="AF52" s="415"/>
      <c r="AG52" s="415"/>
      <c r="AH52" s="415"/>
      <c r="AI52" s="415"/>
      <c r="AJ52" s="415"/>
      <c r="AK52" s="415"/>
      <c r="AL52" s="415"/>
      <c r="AM52" s="313"/>
    </row>
    <row r="53" spans="1:42" s="283" customFormat="1" ht="15" outlineLevel="1">
      <c r="A53" s="504">
        <v>11</v>
      </c>
      <c r="B53" s="314" t="s">
        <v>21</v>
      </c>
      <c r="C53" s="291" t="s">
        <v>25</v>
      </c>
      <c r="D53" s="295">
        <f>+'7.  Persistence Report'!AQ59</f>
        <v>631336.09519030957</v>
      </c>
      <c r="E53" s="295">
        <f>+'7.  Persistence Report'!AR59</f>
        <v>629043.19413396483</v>
      </c>
      <c r="F53" s="295">
        <f>+'7.  Persistence Report'!AS59</f>
        <v>618492.77257100388</v>
      </c>
      <c r="G53" s="295">
        <f>+'7.  Persistence Report'!AT59</f>
        <v>494725.18538609933</v>
      </c>
      <c r="H53" s="295">
        <f>+'7.  Persistence Report'!AU59</f>
        <v>494725.18538609933</v>
      </c>
      <c r="I53" s="295">
        <f>+'7.  Persistence Report'!AV59</f>
        <v>494725.18538609933</v>
      </c>
      <c r="J53" s="295">
        <f>+'7.  Persistence Report'!AW59</f>
        <v>176545.49174467372</v>
      </c>
      <c r="K53" s="295">
        <f>+'7.  Persistence Report'!AX59</f>
        <v>171912.49044476336</v>
      </c>
      <c r="L53" s="295">
        <f>+'7.  Persistence Report'!AY59</f>
        <v>171912.49044476336</v>
      </c>
      <c r="M53" s="295">
        <f>+'7.  Persistence Report'!AZ59</f>
        <v>171912.49044476336</v>
      </c>
      <c r="N53" s="295">
        <v>12</v>
      </c>
      <c r="O53" s="295">
        <f>+'7.  Persistence Report'!L59</f>
        <v>260.90803991794672</v>
      </c>
      <c r="P53" s="295">
        <f>+'7.  Persistence Report'!M59</f>
        <v>260.08712873835219</v>
      </c>
      <c r="Q53" s="295">
        <f>+'7.  Persistence Report'!N59</f>
        <v>255.97450774808883</v>
      </c>
      <c r="R53" s="295">
        <f>+'7.  Persistence Report'!O59</f>
        <v>211.44022027459175</v>
      </c>
      <c r="S53" s="295">
        <f>+'7.  Persistence Report'!P59</f>
        <v>211.44022027459175</v>
      </c>
      <c r="T53" s="295">
        <f>+'7.  Persistence Report'!Q59</f>
        <v>211.44022027459175</v>
      </c>
      <c r="U53" s="295">
        <f>+'7.  Persistence Report'!R59</f>
        <v>78.800560304824188</v>
      </c>
      <c r="V53" s="295">
        <f>+'7.  Persistence Report'!S59</f>
        <v>72.628460390314999</v>
      </c>
      <c r="W53" s="295">
        <f>+'7.  Persistence Report'!T59</f>
        <v>72.628460390314999</v>
      </c>
      <c r="X53" s="295">
        <f>+'7.  Persistence Report'!U59</f>
        <v>72.628460390314999</v>
      </c>
      <c r="Y53" s="773"/>
      <c r="Z53" s="773">
        <v>1</v>
      </c>
      <c r="AA53" s="773"/>
      <c r="AB53" s="414"/>
      <c r="AC53" s="414"/>
      <c r="AD53" s="414"/>
      <c r="AE53" s="414"/>
      <c r="AF53" s="414"/>
      <c r="AG53" s="414"/>
      <c r="AH53" s="414"/>
      <c r="AI53" s="414"/>
      <c r="AJ53" s="414"/>
      <c r="AK53" s="414"/>
      <c r="AL53" s="414"/>
      <c r="AM53" s="296">
        <f>SUM(Y53:AL53)</f>
        <v>1</v>
      </c>
    </row>
    <row r="54" spans="1:42" s="283" customFormat="1" ht="15" outlineLevel="1">
      <c r="A54" s="504"/>
      <c r="B54" s="315" t="s">
        <v>214</v>
      </c>
      <c r="C54" s="291" t="s">
        <v>163</v>
      </c>
      <c r="D54" s="295">
        <f>+'7.  Persistence Report'!AQ66</f>
        <v>16168.227525967908</v>
      </c>
      <c r="E54" s="295">
        <f>+'7.  Persistence Report'!AR66</f>
        <v>16168.227525967908</v>
      </c>
      <c r="F54" s="295">
        <f>+'7.  Persistence Report'!AS66</f>
        <v>16168.227525967908</v>
      </c>
      <c r="G54" s="295">
        <f>+'7.  Persistence Report'!AT66</f>
        <v>7981.4936922834095</v>
      </c>
      <c r="H54" s="295">
        <f>+'7.  Persistence Report'!AU66</f>
        <v>7981.4936922834095</v>
      </c>
      <c r="I54" s="295">
        <f>+'7.  Persistence Report'!AV66</f>
        <v>7981.4936922834095</v>
      </c>
      <c r="J54" s="295">
        <f>+'7.  Persistence Report'!AW66</f>
        <v>2264.7523518816165</v>
      </c>
      <c r="K54" s="295">
        <f>+'7.  Persistence Report'!AX66</f>
        <v>2264.7523518816165</v>
      </c>
      <c r="L54" s="295">
        <f>+'7.  Persistence Report'!AY66</f>
        <v>2264.7523518816165</v>
      </c>
      <c r="M54" s="295">
        <f>+'7.  Persistence Report'!AZ66</f>
        <v>2264.7523518816165</v>
      </c>
      <c r="N54" s="295">
        <f>N53</f>
        <v>12</v>
      </c>
      <c r="O54" s="295">
        <f>+'7.  Persistence Report'!L66</f>
        <v>6.5661372807145968</v>
      </c>
      <c r="P54" s="295">
        <f>+'7.  Persistence Report'!M66</f>
        <v>6.5661372807145968</v>
      </c>
      <c r="Q54" s="295">
        <f>+'7.  Persistence Report'!N66</f>
        <v>6.5661372807145968</v>
      </c>
      <c r="R54" s="295">
        <f>+'7.  Persistence Report'!O66</f>
        <v>3.2686666898380965</v>
      </c>
      <c r="S54" s="295">
        <f>+'7.  Persistence Report'!P66</f>
        <v>3.2686666898380965</v>
      </c>
      <c r="T54" s="295">
        <f>+'7.  Persistence Report'!Q66</f>
        <v>3.2686666898380965</v>
      </c>
      <c r="U54" s="295">
        <f>+'7.  Persistence Report'!R66</f>
        <v>0.92748561343661184</v>
      </c>
      <c r="V54" s="295">
        <f>+'7.  Persistence Report'!S66</f>
        <v>0.92748561343661184</v>
      </c>
      <c r="W54" s="295">
        <f>+'7.  Persistence Report'!T66</f>
        <v>0.92748561343661184</v>
      </c>
      <c r="X54" s="295">
        <f>+'7.  Persistence Report'!U66</f>
        <v>0.92748561343661184</v>
      </c>
      <c r="Y54" s="776">
        <f>Y53</f>
        <v>0</v>
      </c>
      <c r="Z54" s="776">
        <f>Z53</f>
        <v>1</v>
      </c>
      <c r="AA54" s="776">
        <f t="shared" ref="AA54" si="11">AA53</f>
        <v>0</v>
      </c>
      <c r="AB54" s="410">
        <f t="shared" ref="AB54:AL54" si="12">AB53</f>
        <v>0</v>
      </c>
      <c r="AC54" s="410">
        <f t="shared" si="12"/>
        <v>0</v>
      </c>
      <c r="AD54" s="410">
        <f t="shared" si="12"/>
        <v>0</v>
      </c>
      <c r="AE54" s="410">
        <f t="shared" si="12"/>
        <v>0</v>
      </c>
      <c r="AF54" s="410">
        <f t="shared" si="12"/>
        <v>0</v>
      </c>
      <c r="AG54" s="410">
        <f t="shared" si="12"/>
        <v>0</v>
      </c>
      <c r="AH54" s="410">
        <f t="shared" si="12"/>
        <v>0</v>
      </c>
      <c r="AI54" s="410">
        <f t="shared" si="12"/>
        <v>0</v>
      </c>
      <c r="AJ54" s="410">
        <f t="shared" si="12"/>
        <v>0</v>
      </c>
      <c r="AK54" s="410">
        <f t="shared" si="12"/>
        <v>0</v>
      </c>
      <c r="AL54" s="410">
        <f t="shared" si="12"/>
        <v>0</v>
      </c>
      <c r="AM54" s="311"/>
    </row>
    <row r="55" spans="1:42" s="283" customFormat="1" ht="15" outlineLevel="1">
      <c r="A55" s="504"/>
      <c r="B55" s="314"/>
      <c r="C55" s="312"/>
      <c r="D55" s="758"/>
      <c r="E55" s="758"/>
      <c r="F55" s="758"/>
      <c r="G55" s="758"/>
      <c r="H55" s="758"/>
      <c r="I55" s="758"/>
      <c r="J55" s="758"/>
      <c r="K55" s="758"/>
      <c r="L55" s="758"/>
      <c r="M55" s="758"/>
      <c r="N55" s="758"/>
      <c r="O55" s="758"/>
      <c r="P55" s="758"/>
      <c r="Q55" s="758"/>
      <c r="R55" s="758"/>
      <c r="S55" s="758"/>
      <c r="T55" s="758"/>
      <c r="U55" s="758"/>
      <c r="V55" s="758"/>
      <c r="W55" s="758"/>
      <c r="X55" s="758"/>
      <c r="Y55" s="812"/>
      <c r="Z55" s="818"/>
      <c r="AA55" s="812"/>
      <c r="AB55" s="415"/>
      <c r="AC55" s="415"/>
      <c r="AD55" s="415"/>
      <c r="AE55" s="415"/>
      <c r="AF55" s="415"/>
      <c r="AG55" s="415"/>
      <c r="AH55" s="415"/>
      <c r="AI55" s="415"/>
      <c r="AJ55" s="415"/>
      <c r="AK55" s="415"/>
      <c r="AL55" s="415"/>
      <c r="AM55" s="313"/>
    </row>
    <row r="56" spans="1:42" s="283" customFormat="1" ht="15" outlineLevel="1">
      <c r="A56" s="504">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773"/>
      <c r="Z56" s="773"/>
      <c r="AA56" s="773"/>
      <c r="AB56" s="414"/>
      <c r="AC56" s="414"/>
      <c r="AD56" s="414"/>
      <c r="AE56" s="414"/>
      <c r="AF56" s="414"/>
      <c r="AG56" s="414"/>
      <c r="AH56" s="414"/>
      <c r="AI56" s="414"/>
      <c r="AJ56" s="414"/>
      <c r="AK56" s="414"/>
      <c r="AL56" s="414"/>
      <c r="AM56" s="296">
        <f>SUM(Y56:AL56)</f>
        <v>0</v>
      </c>
    </row>
    <row r="57" spans="1:42" s="283" customFormat="1" ht="15" outlineLevel="1">
      <c r="A57" s="504"/>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776">
        <f>Y56</f>
        <v>0</v>
      </c>
      <c r="Z57" s="776">
        <f>Z56</f>
        <v>0</v>
      </c>
      <c r="AA57" s="776">
        <f t="shared" ref="AA57" si="13">AA56</f>
        <v>0</v>
      </c>
      <c r="AB57" s="410">
        <f t="shared" ref="AB57:AL57" si="14">AB56</f>
        <v>0</v>
      </c>
      <c r="AC57" s="410">
        <f t="shared" si="14"/>
        <v>0</v>
      </c>
      <c r="AD57" s="410">
        <f t="shared" si="14"/>
        <v>0</v>
      </c>
      <c r="AE57" s="410">
        <f t="shared" si="14"/>
        <v>0</v>
      </c>
      <c r="AF57" s="410">
        <f t="shared" si="14"/>
        <v>0</v>
      </c>
      <c r="AG57" s="410">
        <f t="shared" si="14"/>
        <v>0</v>
      </c>
      <c r="AH57" s="410">
        <f t="shared" si="14"/>
        <v>0</v>
      </c>
      <c r="AI57" s="410">
        <f t="shared" si="14"/>
        <v>0</v>
      </c>
      <c r="AJ57" s="410">
        <f t="shared" si="14"/>
        <v>0</v>
      </c>
      <c r="AK57" s="410">
        <f t="shared" si="14"/>
        <v>0</v>
      </c>
      <c r="AL57" s="410">
        <f t="shared" si="14"/>
        <v>0</v>
      </c>
      <c r="AM57" s="311"/>
    </row>
    <row r="58" spans="1:42" s="283" customFormat="1" ht="15" outlineLevel="1">
      <c r="A58" s="504"/>
      <c r="B58" s="314"/>
      <c r="C58" s="312"/>
      <c r="D58" s="764"/>
      <c r="E58" s="764"/>
      <c r="F58" s="764"/>
      <c r="G58" s="764"/>
      <c r="H58" s="764"/>
      <c r="I58" s="764"/>
      <c r="J58" s="764"/>
      <c r="K58" s="764"/>
      <c r="L58" s="764"/>
      <c r="M58" s="764"/>
      <c r="N58" s="758"/>
      <c r="O58" s="764"/>
      <c r="P58" s="764"/>
      <c r="Q58" s="764"/>
      <c r="R58" s="764"/>
      <c r="S58" s="764"/>
      <c r="T58" s="764"/>
      <c r="U58" s="764"/>
      <c r="V58" s="764"/>
      <c r="W58" s="764"/>
      <c r="X58" s="764"/>
      <c r="Y58" s="812"/>
      <c r="Z58" s="818"/>
      <c r="AA58" s="812"/>
      <c r="AB58" s="415"/>
      <c r="AC58" s="415"/>
      <c r="AD58" s="415"/>
      <c r="AE58" s="415"/>
      <c r="AF58" s="415"/>
      <c r="AG58" s="415"/>
      <c r="AH58" s="415"/>
      <c r="AI58" s="415"/>
      <c r="AJ58" s="415"/>
      <c r="AK58" s="415"/>
      <c r="AL58" s="415"/>
      <c r="AM58" s="313"/>
    </row>
    <row r="59" spans="1:42" s="283" customFormat="1" ht="15" outlineLevel="1">
      <c r="A59" s="504">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773"/>
      <c r="Z59" s="773"/>
      <c r="AA59" s="773"/>
      <c r="AB59" s="414"/>
      <c r="AC59" s="414"/>
      <c r="AD59" s="414"/>
      <c r="AE59" s="414"/>
      <c r="AF59" s="414"/>
      <c r="AG59" s="414"/>
      <c r="AH59" s="414"/>
      <c r="AI59" s="414"/>
      <c r="AJ59" s="414"/>
      <c r="AK59" s="414"/>
      <c r="AL59" s="414"/>
      <c r="AM59" s="296">
        <f>SUM(Y59:AL59)</f>
        <v>0</v>
      </c>
    </row>
    <row r="60" spans="1:42" s="283" customFormat="1" ht="15" outlineLevel="1">
      <c r="A60" s="504"/>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776">
        <f>Y59</f>
        <v>0</v>
      </c>
      <c r="Z60" s="776">
        <f>Z59</f>
        <v>0</v>
      </c>
      <c r="AA60" s="776">
        <f t="shared" ref="AA60" si="15">AA59</f>
        <v>0</v>
      </c>
      <c r="AB60" s="410">
        <f t="shared" ref="AB60:AL60" si="16">AB59</f>
        <v>0</v>
      </c>
      <c r="AC60" s="410">
        <f t="shared" si="16"/>
        <v>0</v>
      </c>
      <c r="AD60" s="410">
        <f t="shared" si="16"/>
        <v>0</v>
      </c>
      <c r="AE60" s="410">
        <f t="shared" si="16"/>
        <v>0</v>
      </c>
      <c r="AF60" s="410">
        <f t="shared" si="16"/>
        <v>0</v>
      </c>
      <c r="AG60" s="410">
        <f t="shared" si="16"/>
        <v>0</v>
      </c>
      <c r="AH60" s="410">
        <f t="shared" si="16"/>
        <v>0</v>
      </c>
      <c r="AI60" s="410">
        <f t="shared" si="16"/>
        <v>0</v>
      </c>
      <c r="AJ60" s="410">
        <f t="shared" si="16"/>
        <v>0</v>
      </c>
      <c r="AK60" s="410">
        <f t="shared" si="16"/>
        <v>0</v>
      </c>
      <c r="AL60" s="410">
        <f t="shared" si="16"/>
        <v>0</v>
      </c>
      <c r="AM60" s="311"/>
    </row>
    <row r="61" spans="1:42" s="283" customFormat="1" ht="15" outlineLevel="1">
      <c r="A61" s="504"/>
      <c r="B61" s="314"/>
      <c r="C61" s="312"/>
      <c r="D61" s="764"/>
      <c r="E61" s="764"/>
      <c r="F61" s="764"/>
      <c r="G61" s="764"/>
      <c r="H61" s="764"/>
      <c r="I61" s="764"/>
      <c r="J61" s="764"/>
      <c r="K61" s="764"/>
      <c r="L61" s="764"/>
      <c r="M61" s="764"/>
      <c r="N61" s="758"/>
      <c r="O61" s="764"/>
      <c r="P61" s="764"/>
      <c r="Q61" s="764"/>
      <c r="R61" s="764"/>
      <c r="S61" s="764"/>
      <c r="T61" s="764"/>
      <c r="U61" s="764"/>
      <c r="V61" s="764"/>
      <c r="W61" s="764"/>
      <c r="X61" s="764"/>
      <c r="Y61" s="812"/>
      <c r="Z61" s="812"/>
      <c r="AA61" s="812"/>
      <c r="AB61" s="415"/>
      <c r="AC61" s="415"/>
      <c r="AD61" s="415"/>
      <c r="AE61" s="415"/>
      <c r="AF61" s="415"/>
      <c r="AG61" s="415"/>
      <c r="AH61" s="415"/>
      <c r="AI61" s="415"/>
      <c r="AJ61" s="415"/>
      <c r="AK61" s="415"/>
      <c r="AL61" s="415"/>
      <c r="AM61" s="313"/>
    </row>
    <row r="62" spans="1:42" s="283" customFormat="1" ht="15" outlineLevel="1">
      <c r="A62" s="504">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773"/>
      <c r="Z62" s="773">
        <v>1</v>
      </c>
      <c r="AA62" s="773">
        <v>0</v>
      </c>
      <c r="AB62" s="414"/>
      <c r="AC62" s="414"/>
      <c r="AD62" s="414"/>
      <c r="AE62" s="414"/>
      <c r="AF62" s="414"/>
      <c r="AG62" s="414"/>
      <c r="AH62" s="414"/>
      <c r="AI62" s="414"/>
      <c r="AJ62" s="414"/>
      <c r="AK62" s="414"/>
      <c r="AL62" s="414"/>
      <c r="AM62" s="296">
        <f>SUM(Y62:AL62)</f>
        <v>1</v>
      </c>
    </row>
    <row r="63" spans="1:42" s="283" customFormat="1" ht="15" outlineLevel="1">
      <c r="A63" s="504"/>
      <c r="B63" s="315" t="s">
        <v>214</v>
      </c>
      <c r="C63" s="291" t="s">
        <v>163</v>
      </c>
      <c r="D63" s="295">
        <f>+'7.  Persistence Report'!AQ67+'7.  Persistence Report'!AQ76</f>
        <v>52796.590163126151</v>
      </c>
      <c r="E63" s="295">
        <f>+'7.  Persistence Report'!AR67+'7.  Persistence Report'!AR76</f>
        <v>52796.590163126151</v>
      </c>
      <c r="F63" s="295">
        <f>+'7.  Persistence Report'!AS67+'7.  Persistence Report'!AS76</f>
        <v>52796.590163126151</v>
      </c>
      <c r="G63" s="295">
        <f>+'7.  Persistence Report'!AT67+'7.  Persistence Report'!AT76</f>
        <v>52796.590163126151</v>
      </c>
      <c r="H63" s="295">
        <f>+'7.  Persistence Report'!AU67+'7.  Persistence Report'!AU76</f>
        <v>50352.508925126152</v>
      </c>
      <c r="I63" s="295">
        <f>+'7.  Persistence Report'!AV67+'7.  Persistence Report'!AV76</f>
        <v>0</v>
      </c>
      <c r="J63" s="295">
        <f>+'7.  Persistence Report'!AW67+'7.  Persistence Report'!AW76</f>
        <v>0</v>
      </c>
      <c r="K63" s="295">
        <f>+'7.  Persistence Report'!AX67+'7.  Persistence Report'!AX76</f>
        <v>0</v>
      </c>
      <c r="L63" s="295">
        <f>+'7.  Persistence Report'!AY67+'7.  Persistence Report'!AY76</f>
        <v>0</v>
      </c>
      <c r="M63" s="295">
        <f>+'7.  Persistence Report'!AZ67+'7.  Persistence Report'!AZ76</f>
        <v>0</v>
      </c>
      <c r="N63" s="295">
        <f>N62</f>
        <v>12</v>
      </c>
      <c r="O63" s="295">
        <f>+'7.  Persistence Report'!L67+'7.  Persistence Report'!L76</f>
        <v>10.847899710129566</v>
      </c>
      <c r="P63" s="295">
        <f>+'7.  Persistence Report'!M67+'7.  Persistence Report'!M76</f>
        <v>10.847899710129566</v>
      </c>
      <c r="Q63" s="295">
        <f>+'7.  Persistence Report'!N67+'7.  Persistence Report'!N76</f>
        <v>10.847899710129566</v>
      </c>
      <c r="R63" s="295">
        <f>+'7.  Persistence Report'!O67+'7.  Persistence Report'!O76</f>
        <v>10.847899710129566</v>
      </c>
      <c r="S63" s="295">
        <f>+'7.  Persistence Report'!P67+'7.  Persistence Report'!P76</f>
        <v>10.354349259129565</v>
      </c>
      <c r="T63" s="295">
        <f>+'7.  Persistence Report'!Q67+'7.  Persistence Report'!Q76</f>
        <v>0</v>
      </c>
      <c r="U63" s="295">
        <f>+'7.  Persistence Report'!R67+'7.  Persistence Report'!R76</f>
        <v>0</v>
      </c>
      <c r="V63" s="295">
        <f>+'7.  Persistence Report'!S67+'7.  Persistence Report'!S76</f>
        <v>0</v>
      </c>
      <c r="W63" s="295">
        <f>+'7.  Persistence Report'!T67+'7.  Persistence Report'!T76</f>
        <v>0</v>
      </c>
      <c r="X63" s="295">
        <f>+'7.  Persistence Report'!U67+'7.  Persistence Report'!U76</f>
        <v>0</v>
      </c>
      <c r="Y63" s="776">
        <f>Y62</f>
        <v>0</v>
      </c>
      <c r="Z63" s="776">
        <f>Z62</f>
        <v>1</v>
      </c>
      <c r="AA63" s="776">
        <f t="shared" ref="AA63" si="17">AA62</f>
        <v>0</v>
      </c>
      <c r="AB63" s="410">
        <f t="shared" ref="AB63:AL63" si="18">AB62</f>
        <v>0</v>
      </c>
      <c r="AC63" s="410">
        <f t="shared" si="18"/>
        <v>0</v>
      </c>
      <c r="AD63" s="410">
        <f t="shared" si="18"/>
        <v>0</v>
      </c>
      <c r="AE63" s="410">
        <f t="shared" si="18"/>
        <v>0</v>
      </c>
      <c r="AF63" s="410">
        <f t="shared" si="18"/>
        <v>0</v>
      </c>
      <c r="AG63" s="410">
        <f t="shared" si="18"/>
        <v>0</v>
      </c>
      <c r="AH63" s="410">
        <f t="shared" si="18"/>
        <v>0</v>
      </c>
      <c r="AI63" s="410">
        <f t="shared" si="18"/>
        <v>0</v>
      </c>
      <c r="AJ63" s="410">
        <f t="shared" si="18"/>
        <v>0</v>
      </c>
      <c r="AK63" s="410">
        <f t="shared" si="18"/>
        <v>0</v>
      </c>
      <c r="AL63" s="410">
        <f t="shared" si="18"/>
        <v>0</v>
      </c>
      <c r="AM63" s="311"/>
    </row>
    <row r="64" spans="1:42" s="283" customFormat="1" ht="15" outlineLevel="1">
      <c r="A64" s="504"/>
      <c r="B64" s="314"/>
      <c r="C64" s="312"/>
      <c r="D64" s="764"/>
      <c r="E64" s="764"/>
      <c r="F64" s="764"/>
      <c r="G64" s="764"/>
      <c r="H64" s="764"/>
      <c r="I64" s="764"/>
      <c r="J64" s="764"/>
      <c r="K64" s="764"/>
      <c r="L64" s="764"/>
      <c r="M64" s="764"/>
      <c r="N64" s="758"/>
      <c r="O64" s="764"/>
      <c r="P64" s="764"/>
      <c r="Q64" s="764"/>
      <c r="R64" s="764"/>
      <c r="S64" s="764"/>
      <c r="T64" s="764"/>
      <c r="U64" s="764"/>
      <c r="V64" s="764"/>
      <c r="W64" s="764"/>
      <c r="X64" s="764"/>
      <c r="Y64" s="812"/>
      <c r="Z64" s="818"/>
      <c r="AA64" s="812"/>
      <c r="AB64" s="415"/>
      <c r="AC64" s="415"/>
      <c r="AD64" s="415"/>
      <c r="AE64" s="415"/>
      <c r="AF64" s="415"/>
      <c r="AG64" s="415"/>
      <c r="AH64" s="415"/>
      <c r="AI64" s="415"/>
      <c r="AJ64" s="415"/>
      <c r="AK64" s="415"/>
      <c r="AL64" s="415"/>
      <c r="AM64" s="313"/>
    </row>
    <row r="65" spans="1:39" s="283" customFormat="1" ht="15" outlineLevel="1">
      <c r="A65" s="504">
        <v>15</v>
      </c>
      <c r="B65" s="314" t="s">
        <v>486</v>
      </c>
      <c r="C65" s="291" t="s">
        <v>25</v>
      </c>
      <c r="D65" s="295">
        <f>+'7.  Persistence Report'!AQ57</f>
        <v>0</v>
      </c>
      <c r="E65" s="295">
        <f>+'7.  Persistence Report'!AR57</f>
        <v>0</v>
      </c>
      <c r="F65" s="295">
        <f>+'7.  Persistence Report'!AS57</f>
        <v>0</v>
      </c>
      <c r="G65" s="295">
        <f>+'7.  Persistence Report'!AT57</f>
        <v>0</v>
      </c>
      <c r="H65" s="295">
        <f>+'7.  Persistence Report'!AU57</f>
        <v>0</v>
      </c>
      <c r="I65" s="295">
        <f>+'7.  Persistence Report'!AV57</f>
        <v>0</v>
      </c>
      <c r="J65" s="295">
        <f>+'7.  Persistence Report'!AW57</f>
        <v>0</v>
      </c>
      <c r="K65" s="295">
        <f>+'7.  Persistence Report'!AX57</f>
        <v>0</v>
      </c>
      <c r="L65" s="295">
        <f>+'7.  Persistence Report'!AY57</f>
        <v>0</v>
      </c>
      <c r="M65" s="295">
        <f>+'7.  Persistence Report'!AZ57</f>
        <v>0</v>
      </c>
      <c r="N65" s="758"/>
      <c r="O65" s="295">
        <f>+'7.  Persistence Report'!L57</f>
        <v>5.76</v>
      </c>
      <c r="P65" s="295">
        <f>+'7.  Persistence Report'!M57</f>
        <v>0</v>
      </c>
      <c r="Q65" s="295">
        <f>+'7.  Persistence Report'!N57</f>
        <v>0</v>
      </c>
      <c r="R65" s="295">
        <f>+'7.  Persistence Report'!O57</f>
        <v>0</v>
      </c>
      <c r="S65" s="295">
        <f>+'7.  Persistence Report'!P57</f>
        <v>0</v>
      </c>
      <c r="T65" s="295">
        <f>+'7.  Persistence Report'!Q57</f>
        <v>0</v>
      </c>
      <c r="U65" s="295">
        <f>+'7.  Persistence Report'!R57</f>
        <v>0</v>
      </c>
      <c r="V65" s="295">
        <f>+'7.  Persistence Report'!S57</f>
        <v>0</v>
      </c>
      <c r="W65" s="295">
        <f>+'7.  Persistence Report'!T57</f>
        <v>0</v>
      </c>
      <c r="X65" s="295">
        <f>+'7.  Persistence Report'!U57</f>
        <v>0</v>
      </c>
      <c r="Y65" s="773"/>
      <c r="Z65" s="773">
        <v>1</v>
      </c>
      <c r="AA65" s="773"/>
      <c r="AB65" s="414"/>
      <c r="AC65" s="414"/>
      <c r="AD65" s="414"/>
      <c r="AE65" s="414"/>
      <c r="AF65" s="414"/>
      <c r="AG65" s="414"/>
      <c r="AH65" s="414"/>
      <c r="AI65" s="414"/>
      <c r="AJ65" s="414"/>
      <c r="AK65" s="414"/>
      <c r="AL65" s="414"/>
      <c r="AM65" s="296">
        <f>SUM(Y65:AL65)</f>
        <v>1</v>
      </c>
    </row>
    <row r="66" spans="1:39" s="283" customFormat="1" ht="15" outlineLevel="1">
      <c r="A66" s="504"/>
      <c r="B66" s="315" t="s">
        <v>214</v>
      </c>
      <c r="C66" s="291" t="s">
        <v>163</v>
      </c>
      <c r="D66" s="295"/>
      <c r="E66" s="295"/>
      <c r="F66" s="295"/>
      <c r="G66" s="295"/>
      <c r="H66" s="295"/>
      <c r="I66" s="295"/>
      <c r="J66" s="295"/>
      <c r="K66" s="295"/>
      <c r="L66" s="295"/>
      <c r="M66" s="295"/>
      <c r="N66" s="758"/>
      <c r="O66" s="295"/>
      <c r="P66" s="295"/>
      <c r="Q66" s="295"/>
      <c r="R66" s="295"/>
      <c r="S66" s="295"/>
      <c r="T66" s="295"/>
      <c r="U66" s="295"/>
      <c r="V66" s="295"/>
      <c r="W66" s="295"/>
      <c r="X66" s="295"/>
      <c r="Y66" s="776">
        <f>Y65</f>
        <v>0</v>
      </c>
      <c r="Z66" s="776">
        <f>Z65</f>
        <v>1</v>
      </c>
      <c r="AA66" s="776">
        <f t="shared" ref="AA66" si="19">AA65</f>
        <v>0</v>
      </c>
      <c r="AB66" s="410">
        <f t="shared" ref="AB66:AL66" si="20">AB65</f>
        <v>0</v>
      </c>
      <c r="AC66" s="410">
        <f t="shared" si="20"/>
        <v>0</v>
      </c>
      <c r="AD66" s="410">
        <f t="shared" si="20"/>
        <v>0</v>
      </c>
      <c r="AE66" s="410">
        <f t="shared" si="20"/>
        <v>0</v>
      </c>
      <c r="AF66" s="410">
        <f t="shared" si="20"/>
        <v>0</v>
      </c>
      <c r="AG66" s="410">
        <f t="shared" si="20"/>
        <v>0</v>
      </c>
      <c r="AH66" s="410">
        <f t="shared" si="20"/>
        <v>0</v>
      </c>
      <c r="AI66" s="410">
        <f t="shared" si="20"/>
        <v>0</v>
      </c>
      <c r="AJ66" s="410">
        <f t="shared" si="20"/>
        <v>0</v>
      </c>
      <c r="AK66" s="410">
        <f t="shared" si="20"/>
        <v>0</v>
      </c>
      <c r="AL66" s="410">
        <f t="shared" si="20"/>
        <v>0</v>
      </c>
      <c r="AM66" s="311"/>
    </row>
    <row r="67" spans="1:39" s="283" customFormat="1" ht="15" outlineLevel="1">
      <c r="A67" s="504"/>
      <c r="B67" s="314"/>
      <c r="C67" s="312"/>
      <c r="D67" s="764"/>
      <c r="E67" s="764"/>
      <c r="F67" s="764"/>
      <c r="G67" s="764"/>
      <c r="H67" s="764"/>
      <c r="I67" s="764"/>
      <c r="J67" s="764"/>
      <c r="K67" s="764"/>
      <c r="L67" s="764"/>
      <c r="M67" s="764"/>
      <c r="N67" s="758"/>
      <c r="O67" s="764"/>
      <c r="P67" s="764"/>
      <c r="Q67" s="764"/>
      <c r="R67" s="764"/>
      <c r="S67" s="764"/>
      <c r="T67" s="764"/>
      <c r="U67" s="764"/>
      <c r="V67" s="764"/>
      <c r="W67" s="764"/>
      <c r="X67" s="764"/>
      <c r="Y67" s="813"/>
      <c r="Z67" s="812"/>
      <c r="AA67" s="812"/>
      <c r="AB67" s="415"/>
      <c r="AC67" s="415"/>
      <c r="AD67" s="415"/>
      <c r="AE67" s="415"/>
      <c r="AF67" s="415"/>
      <c r="AG67" s="415"/>
      <c r="AH67" s="415"/>
      <c r="AI67" s="415"/>
      <c r="AJ67" s="415"/>
      <c r="AK67" s="415"/>
      <c r="AL67" s="415"/>
      <c r="AM67" s="313"/>
    </row>
    <row r="68" spans="1:39" s="283" customFormat="1" ht="30" outlineLevel="1">
      <c r="A68" s="504">
        <v>16</v>
      </c>
      <c r="B68" s="314" t="s">
        <v>487</v>
      </c>
      <c r="C68" s="291" t="s">
        <v>25</v>
      </c>
      <c r="D68" s="295"/>
      <c r="E68" s="295"/>
      <c r="F68" s="295"/>
      <c r="G68" s="295"/>
      <c r="H68" s="295"/>
      <c r="I68" s="295"/>
      <c r="J68" s="295"/>
      <c r="K68" s="295"/>
      <c r="L68" s="295"/>
      <c r="M68" s="295"/>
      <c r="N68" s="758"/>
      <c r="O68" s="295"/>
      <c r="P68" s="295"/>
      <c r="Q68" s="295"/>
      <c r="R68" s="295"/>
      <c r="S68" s="295"/>
      <c r="T68" s="295"/>
      <c r="U68" s="295"/>
      <c r="V68" s="295"/>
      <c r="W68" s="295"/>
      <c r="X68" s="295"/>
      <c r="Y68" s="773"/>
      <c r="Z68" s="773"/>
      <c r="AA68" s="773"/>
      <c r="AB68" s="414"/>
      <c r="AC68" s="414"/>
      <c r="AD68" s="414"/>
      <c r="AE68" s="414"/>
      <c r="AF68" s="414"/>
      <c r="AG68" s="414"/>
      <c r="AH68" s="414"/>
      <c r="AI68" s="414"/>
      <c r="AJ68" s="414"/>
      <c r="AK68" s="414"/>
      <c r="AL68" s="414"/>
      <c r="AM68" s="296">
        <f>SUM(Y68:AL68)</f>
        <v>0</v>
      </c>
    </row>
    <row r="69" spans="1:39" s="283" customFormat="1" ht="15" outlineLevel="1">
      <c r="A69" s="504"/>
      <c r="B69" s="315" t="s">
        <v>214</v>
      </c>
      <c r="C69" s="291" t="s">
        <v>163</v>
      </c>
      <c r="D69" s="295"/>
      <c r="E69" s="295"/>
      <c r="F69" s="295"/>
      <c r="G69" s="295"/>
      <c r="H69" s="295"/>
      <c r="I69" s="295"/>
      <c r="J69" s="295"/>
      <c r="K69" s="295"/>
      <c r="L69" s="295"/>
      <c r="M69" s="295"/>
      <c r="N69" s="758"/>
      <c r="O69" s="295"/>
      <c r="P69" s="295"/>
      <c r="Q69" s="295"/>
      <c r="R69" s="295"/>
      <c r="S69" s="295"/>
      <c r="T69" s="295"/>
      <c r="U69" s="295"/>
      <c r="V69" s="295"/>
      <c r="W69" s="295"/>
      <c r="X69" s="295"/>
      <c r="Y69" s="776">
        <f>Y68</f>
        <v>0</v>
      </c>
      <c r="Z69" s="776">
        <f>Z68</f>
        <v>0</v>
      </c>
      <c r="AA69" s="776">
        <f t="shared" ref="AA69" si="21">AA68</f>
        <v>0</v>
      </c>
      <c r="AB69" s="410">
        <f t="shared" ref="AB69:AL69" si="22">AB68</f>
        <v>0</v>
      </c>
      <c r="AC69" s="410">
        <f t="shared" si="22"/>
        <v>0</v>
      </c>
      <c r="AD69" s="410">
        <f t="shared" si="22"/>
        <v>0</v>
      </c>
      <c r="AE69" s="410">
        <f t="shared" si="22"/>
        <v>0</v>
      </c>
      <c r="AF69" s="410">
        <f t="shared" si="22"/>
        <v>0</v>
      </c>
      <c r="AG69" s="410">
        <f t="shared" si="22"/>
        <v>0</v>
      </c>
      <c r="AH69" s="410">
        <f t="shared" si="22"/>
        <v>0</v>
      </c>
      <c r="AI69" s="410">
        <f t="shared" si="22"/>
        <v>0</v>
      </c>
      <c r="AJ69" s="410">
        <f t="shared" si="22"/>
        <v>0</v>
      </c>
      <c r="AK69" s="410">
        <f t="shared" si="22"/>
        <v>0</v>
      </c>
      <c r="AL69" s="410">
        <f t="shared" si="22"/>
        <v>0</v>
      </c>
      <c r="AM69" s="311"/>
    </row>
    <row r="70" spans="1:39" s="283" customFormat="1" ht="15" outlineLevel="1">
      <c r="A70" s="504"/>
      <c r="B70" s="314"/>
      <c r="C70" s="312"/>
      <c r="D70" s="764"/>
      <c r="E70" s="764"/>
      <c r="F70" s="764"/>
      <c r="G70" s="764"/>
      <c r="H70" s="764"/>
      <c r="I70" s="764"/>
      <c r="J70" s="764"/>
      <c r="K70" s="764"/>
      <c r="L70" s="764"/>
      <c r="M70" s="764"/>
      <c r="N70" s="758"/>
      <c r="O70" s="764"/>
      <c r="P70" s="764"/>
      <c r="Q70" s="764"/>
      <c r="R70" s="764"/>
      <c r="S70" s="764"/>
      <c r="T70" s="764"/>
      <c r="U70" s="764"/>
      <c r="V70" s="764"/>
      <c r="W70" s="764"/>
      <c r="X70" s="764"/>
      <c r="Y70" s="813"/>
      <c r="Z70" s="812"/>
      <c r="AA70" s="812"/>
      <c r="AB70" s="415"/>
      <c r="AC70" s="415"/>
      <c r="AD70" s="415"/>
      <c r="AE70" s="415"/>
      <c r="AF70" s="415"/>
      <c r="AG70" s="415"/>
      <c r="AH70" s="415"/>
      <c r="AI70" s="415"/>
      <c r="AJ70" s="415"/>
      <c r="AK70" s="415"/>
      <c r="AL70" s="415"/>
      <c r="AM70" s="313"/>
    </row>
    <row r="71" spans="1:39" s="283" customFormat="1" ht="15" outlineLevel="1">
      <c r="A71" s="504">
        <v>17</v>
      </c>
      <c r="B71" s="314" t="s">
        <v>9</v>
      </c>
      <c r="C71" s="291" t="s">
        <v>25</v>
      </c>
      <c r="D71" s="295">
        <f>+'7.  Persistence Report'!AQ58</f>
        <v>17767.759999999998</v>
      </c>
      <c r="E71" s="295">
        <f>+'7.  Persistence Report'!AR58</f>
        <v>0</v>
      </c>
      <c r="F71" s="295">
        <f>+'7.  Persistence Report'!AS58</f>
        <v>0</v>
      </c>
      <c r="G71" s="295">
        <f>+'7.  Persistence Report'!AT58</f>
        <v>0</v>
      </c>
      <c r="H71" s="295">
        <f>+'7.  Persistence Report'!AU58</f>
        <v>0</v>
      </c>
      <c r="I71" s="295">
        <f>+'7.  Persistence Report'!AV58</f>
        <v>0</v>
      </c>
      <c r="J71" s="295">
        <f>+'7.  Persistence Report'!AW58</f>
        <v>0</v>
      </c>
      <c r="K71" s="295">
        <f>+'7.  Persistence Report'!AX58</f>
        <v>0</v>
      </c>
      <c r="L71" s="295">
        <f>+'7.  Persistence Report'!AY58</f>
        <v>0</v>
      </c>
      <c r="M71" s="295">
        <f>+'7.  Persistence Report'!AZ58</f>
        <v>0</v>
      </c>
      <c r="N71" s="758"/>
      <c r="O71" s="295">
        <f>+'7.  Persistence Report'!L58</f>
        <v>455.08199999999999</v>
      </c>
      <c r="P71" s="295">
        <f>+'7.  Persistence Report'!M58</f>
        <v>0</v>
      </c>
      <c r="Q71" s="295">
        <f>+'7.  Persistence Report'!N58</f>
        <v>0</v>
      </c>
      <c r="R71" s="295">
        <f>+'7.  Persistence Report'!O58</f>
        <v>0</v>
      </c>
      <c r="S71" s="295">
        <f>+'7.  Persistence Report'!P58</f>
        <v>0</v>
      </c>
      <c r="T71" s="295">
        <f>+'7.  Persistence Report'!Q58</f>
        <v>0</v>
      </c>
      <c r="U71" s="295">
        <f>+'7.  Persistence Report'!R58</f>
        <v>0</v>
      </c>
      <c r="V71" s="295">
        <f>+'7.  Persistence Report'!S58</f>
        <v>0</v>
      </c>
      <c r="W71" s="295">
        <f>+'7.  Persistence Report'!T58</f>
        <v>0</v>
      </c>
      <c r="X71" s="295">
        <f>+'7.  Persistence Report'!U58</f>
        <v>0</v>
      </c>
      <c r="Y71" s="773"/>
      <c r="Z71" s="773">
        <v>1</v>
      </c>
      <c r="AA71" s="773"/>
      <c r="AB71" s="414"/>
      <c r="AC71" s="414"/>
      <c r="AD71" s="414"/>
      <c r="AE71" s="414"/>
      <c r="AF71" s="414"/>
      <c r="AG71" s="414"/>
      <c r="AH71" s="414"/>
      <c r="AI71" s="414"/>
      <c r="AJ71" s="414"/>
      <c r="AK71" s="414"/>
      <c r="AL71" s="414"/>
      <c r="AM71" s="296">
        <f>SUM(Y71:AL71)</f>
        <v>1</v>
      </c>
    </row>
    <row r="72" spans="1:39" s="283" customFormat="1" ht="15" outlineLevel="1">
      <c r="A72" s="504"/>
      <c r="B72" s="315" t="s">
        <v>214</v>
      </c>
      <c r="C72" s="291" t="s">
        <v>163</v>
      </c>
      <c r="D72" s="295">
        <f>+'7.  Persistence Report'!AQ77</f>
        <v>0</v>
      </c>
      <c r="E72" s="295">
        <f>+'7.  Persistence Report'!AR77</f>
        <v>0</v>
      </c>
      <c r="F72" s="295">
        <f>+'7.  Persistence Report'!AS77</f>
        <v>0</v>
      </c>
      <c r="G72" s="295">
        <f>+'7.  Persistence Report'!AT77</f>
        <v>0</v>
      </c>
      <c r="H72" s="295">
        <f>+'7.  Persistence Report'!AU77</f>
        <v>0</v>
      </c>
      <c r="I72" s="295">
        <f>+'7.  Persistence Report'!AV77</f>
        <v>0</v>
      </c>
      <c r="J72" s="295">
        <f>+'7.  Persistence Report'!AW77</f>
        <v>0</v>
      </c>
      <c r="K72" s="295">
        <f>+'7.  Persistence Report'!AX77</f>
        <v>0</v>
      </c>
      <c r="L72" s="295">
        <f>+'7.  Persistence Report'!AY77</f>
        <v>0</v>
      </c>
      <c r="M72" s="295">
        <f>+'7.  Persistence Report'!AZ77</f>
        <v>0</v>
      </c>
      <c r="N72" s="758"/>
      <c r="O72" s="295">
        <f>+'7.  Persistence Report'!L77</f>
        <v>0</v>
      </c>
      <c r="P72" s="295">
        <f>+'7.  Persistence Report'!M77</f>
        <v>0</v>
      </c>
      <c r="Q72" s="295">
        <f>+'7.  Persistence Report'!N77</f>
        <v>0</v>
      </c>
      <c r="R72" s="295">
        <f>+'7.  Persistence Report'!O77</f>
        <v>6.1752159999999998</v>
      </c>
      <c r="S72" s="295">
        <f>+'7.  Persistence Report'!P77</f>
        <v>0</v>
      </c>
      <c r="T72" s="295">
        <f>+'7.  Persistence Report'!Q77</f>
        <v>0</v>
      </c>
      <c r="U72" s="295">
        <f>+'7.  Persistence Report'!R77</f>
        <v>0</v>
      </c>
      <c r="V72" s="295">
        <f>+'7.  Persistence Report'!S77</f>
        <v>0</v>
      </c>
      <c r="W72" s="295">
        <f>+'7.  Persistence Report'!T77</f>
        <v>0</v>
      </c>
      <c r="X72" s="295">
        <f>+'7.  Persistence Report'!U77</f>
        <v>0</v>
      </c>
      <c r="Y72" s="776">
        <f>Y71</f>
        <v>0</v>
      </c>
      <c r="Z72" s="776">
        <f>Z71</f>
        <v>1</v>
      </c>
      <c r="AA72" s="776">
        <f t="shared" ref="AA72" si="23">AA71</f>
        <v>0</v>
      </c>
      <c r="AB72" s="410">
        <f t="shared" ref="AB72:AL72" si="24">AB71</f>
        <v>0</v>
      </c>
      <c r="AC72" s="410">
        <f t="shared" si="24"/>
        <v>0</v>
      </c>
      <c r="AD72" s="410">
        <f t="shared" si="24"/>
        <v>0</v>
      </c>
      <c r="AE72" s="410">
        <f t="shared" si="24"/>
        <v>0</v>
      </c>
      <c r="AF72" s="410">
        <f t="shared" si="24"/>
        <v>0</v>
      </c>
      <c r="AG72" s="410">
        <f t="shared" si="24"/>
        <v>0</v>
      </c>
      <c r="AH72" s="410">
        <f t="shared" si="24"/>
        <v>0</v>
      </c>
      <c r="AI72" s="410">
        <f t="shared" si="24"/>
        <v>0</v>
      </c>
      <c r="AJ72" s="410">
        <f t="shared" si="24"/>
        <v>0</v>
      </c>
      <c r="AK72" s="410">
        <f t="shared" si="24"/>
        <v>0</v>
      </c>
      <c r="AL72" s="410">
        <f t="shared" si="24"/>
        <v>0</v>
      </c>
      <c r="AM72" s="311"/>
    </row>
    <row r="73" spans="1:39" s="283" customFormat="1" ht="15" outlineLevel="1">
      <c r="A73" s="504"/>
      <c r="B73" s="315"/>
      <c r="C73" s="305"/>
      <c r="D73" s="758"/>
      <c r="E73" s="758"/>
      <c r="F73" s="758"/>
      <c r="G73" s="758"/>
      <c r="H73" s="758"/>
      <c r="I73" s="758"/>
      <c r="J73" s="758"/>
      <c r="K73" s="758"/>
      <c r="L73" s="758"/>
      <c r="M73" s="758"/>
      <c r="N73" s="758"/>
      <c r="O73" s="758"/>
      <c r="P73" s="758"/>
      <c r="Q73" s="758"/>
      <c r="R73" s="758"/>
      <c r="S73" s="758"/>
      <c r="T73" s="758"/>
      <c r="U73" s="758"/>
      <c r="V73" s="758"/>
      <c r="W73" s="758"/>
      <c r="X73" s="758"/>
      <c r="Y73" s="814"/>
      <c r="Z73" s="417"/>
      <c r="AA73" s="417"/>
      <c r="AB73" s="417"/>
      <c r="AC73" s="417"/>
      <c r="AD73" s="417"/>
      <c r="AE73" s="417"/>
      <c r="AF73" s="417"/>
      <c r="AG73" s="417"/>
      <c r="AH73" s="417"/>
      <c r="AI73" s="417"/>
      <c r="AJ73" s="417"/>
      <c r="AK73" s="417"/>
      <c r="AL73" s="417"/>
      <c r="AM73" s="317"/>
    </row>
    <row r="74" spans="1:39" s="293" customFormat="1" ht="15.75" outlineLevel="1">
      <c r="A74" s="505"/>
      <c r="B74" s="288" t="s">
        <v>10</v>
      </c>
      <c r="C74" s="289"/>
      <c r="D74" s="762"/>
      <c r="E74" s="762"/>
      <c r="F74" s="762"/>
      <c r="G74" s="762"/>
      <c r="H74" s="762"/>
      <c r="I74" s="762"/>
      <c r="J74" s="762"/>
      <c r="K74" s="762"/>
      <c r="L74" s="762"/>
      <c r="M74" s="762"/>
      <c r="N74" s="763"/>
      <c r="O74" s="762"/>
      <c r="P74" s="762"/>
      <c r="Q74" s="762"/>
      <c r="R74" s="762"/>
      <c r="S74" s="762"/>
      <c r="T74" s="762"/>
      <c r="U74" s="762"/>
      <c r="V74" s="762"/>
      <c r="W74" s="762"/>
      <c r="X74" s="762"/>
      <c r="Y74" s="811"/>
      <c r="Z74" s="413"/>
      <c r="AA74" s="413"/>
      <c r="AB74" s="413"/>
      <c r="AC74" s="413"/>
      <c r="AD74" s="413"/>
      <c r="AE74" s="413"/>
      <c r="AF74" s="413"/>
      <c r="AG74" s="413"/>
      <c r="AH74" s="413"/>
      <c r="AI74" s="413"/>
      <c r="AJ74" s="413"/>
      <c r="AK74" s="413"/>
      <c r="AL74" s="413"/>
      <c r="AM74" s="292"/>
    </row>
    <row r="75" spans="1:39" s="283" customFormat="1" ht="15" outlineLevel="1">
      <c r="A75" s="504">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773"/>
      <c r="Z75" s="414"/>
      <c r="AA75" s="414"/>
      <c r="AB75" s="414"/>
      <c r="AC75" s="414"/>
      <c r="AD75" s="414"/>
      <c r="AE75" s="414"/>
      <c r="AF75" s="414"/>
      <c r="AG75" s="414"/>
      <c r="AH75" s="414"/>
      <c r="AI75" s="414"/>
      <c r="AJ75" s="414"/>
      <c r="AK75" s="414"/>
      <c r="AL75" s="414"/>
      <c r="AM75" s="296">
        <f>SUM(Y75:AL75)</f>
        <v>0</v>
      </c>
    </row>
    <row r="76" spans="1:39" s="283" customFormat="1" ht="15" outlineLevel="1">
      <c r="A76" s="504"/>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776">
        <f>Y75</f>
        <v>0</v>
      </c>
      <c r="Z76" s="410">
        <f>Z75</f>
        <v>0</v>
      </c>
      <c r="AA76" s="410">
        <f t="shared" ref="AA76:AL76" si="25">AA75</f>
        <v>0</v>
      </c>
      <c r="AB76" s="410">
        <f t="shared" si="25"/>
        <v>0</v>
      </c>
      <c r="AC76" s="410">
        <f t="shared" si="25"/>
        <v>0</v>
      </c>
      <c r="AD76" s="410">
        <f t="shared" si="25"/>
        <v>0</v>
      </c>
      <c r="AE76" s="410">
        <f t="shared" si="25"/>
        <v>0</v>
      </c>
      <c r="AF76" s="410">
        <f t="shared" si="25"/>
        <v>0</v>
      </c>
      <c r="AG76" s="410">
        <f t="shared" si="25"/>
        <v>0</v>
      </c>
      <c r="AH76" s="410">
        <f t="shared" si="25"/>
        <v>0</v>
      </c>
      <c r="AI76" s="410">
        <f t="shared" si="25"/>
        <v>0</v>
      </c>
      <c r="AJ76" s="410">
        <f t="shared" si="25"/>
        <v>0</v>
      </c>
      <c r="AK76" s="410">
        <f t="shared" si="25"/>
        <v>0</v>
      </c>
      <c r="AL76" s="410">
        <f t="shared" si="25"/>
        <v>0</v>
      </c>
      <c r="AM76" s="297"/>
    </row>
    <row r="77" spans="1:39" s="309" customFormat="1" ht="15" outlineLevel="1">
      <c r="A77" s="507"/>
      <c r="B77" s="315"/>
      <c r="C77" s="305"/>
      <c r="D77" s="758"/>
      <c r="E77" s="758"/>
      <c r="F77" s="758"/>
      <c r="G77" s="758"/>
      <c r="H77" s="758"/>
      <c r="I77" s="758"/>
      <c r="J77" s="758"/>
      <c r="K77" s="758"/>
      <c r="L77" s="758"/>
      <c r="M77" s="758"/>
      <c r="N77" s="758"/>
      <c r="O77" s="758"/>
      <c r="P77" s="758"/>
      <c r="Q77" s="758"/>
      <c r="R77" s="758"/>
      <c r="S77" s="758"/>
      <c r="T77" s="758"/>
      <c r="U77" s="758"/>
      <c r="V77" s="758"/>
      <c r="W77" s="758"/>
      <c r="X77" s="758"/>
      <c r="Y77" s="777"/>
      <c r="Z77" s="418"/>
      <c r="AA77" s="418"/>
      <c r="AB77" s="418"/>
      <c r="AC77" s="418"/>
      <c r="AD77" s="418"/>
      <c r="AE77" s="418"/>
      <c r="AF77" s="418"/>
      <c r="AG77" s="418"/>
      <c r="AH77" s="418"/>
      <c r="AI77" s="418"/>
      <c r="AJ77" s="418"/>
      <c r="AK77" s="418"/>
      <c r="AL77" s="418"/>
      <c r="AM77" s="306"/>
    </row>
    <row r="78" spans="1:39" s="283" customFormat="1" ht="15" outlineLevel="1">
      <c r="A78" s="504">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772"/>
      <c r="Z78" s="414"/>
      <c r="AA78" s="414"/>
      <c r="AB78" s="414"/>
      <c r="AC78" s="414"/>
      <c r="AD78" s="414"/>
      <c r="AE78" s="414"/>
      <c r="AF78" s="414"/>
      <c r="AG78" s="414"/>
      <c r="AH78" s="414"/>
      <c r="AI78" s="414"/>
      <c r="AJ78" s="414"/>
      <c r="AK78" s="414"/>
      <c r="AL78" s="414"/>
      <c r="AM78" s="296">
        <f>SUM(Y78:AL78)</f>
        <v>0</v>
      </c>
    </row>
    <row r="79" spans="1:39" s="283" customFormat="1" ht="15" outlineLevel="1">
      <c r="A79" s="504"/>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776">
        <f>Y78</f>
        <v>0</v>
      </c>
      <c r="Z79" s="410">
        <f>Z78</f>
        <v>0</v>
      </c>
      <c r="AA79" s="410">
        <f t="shared" ref="AA79:AL79" si="26">AA78</f>
        <v>0</v>
      </c>
      <c r="AB79" s="410">
        <f t="shared" si="26"/>
        <v>0</v>
      </c>
      <c r="AC79" s="410">
        <f t="shared" si="26"/>
        <v>0</v>
      </c>
      <c r="AD79" s="410">
        <f t="shared" si="26"/>
        <v>0</v>
      </c>
      <c r="AE79" s="410">
        <f t="shared" si="26"/>
        <v>0</v>
      </c>
      <c r="AF79" s="410">
        <f t="shared" si="26"/>
        <v>0</v>
      </c>
      <c r="AG79" s="410">
        <f t="shared" si="26"/>
        <v>0</v>
      </c>
      <c r="AH79" s="410">
        <f t="shared" si="26"/>
        <v>0</v>
      </c>
      <c r="AI79" s="410">
        <f t="shared" si="26"/>
        <v>0</v>
      </c>
      <c r="AJ79" s="410">
        <f t="shared" si="26"/>
        <v>0</v>
      </c>
      <c r="AK79" s="410">
        <f t="shared" si="26"/>
        <v>0</v>
      </c>
      <c r="AL79" s="410">
        <f t="shared" si="26"/>
        <v>0</v>
      </c>
      <c r="AM79" s="297"/>
    </row>
    <row r="80" spans="1:39" s="283" customFormat="1" ht="15" outlineLevel="1">
      <c r="A80" s="504"/>
      <c r="B80" s="315"/>
      <c r="C80" s="305"/>
      <c r="D80" s="758"/>
      <c r="E80" s="758"/>
      <c r="F80" s="758"/>
      <c r="G80" s="758"/>
      <c r="H80" s="758"/>
      <c r="I80" s="758"/>
      <c r="J80" s="758"/>
      <c r="K80" s="758"/>
      <c r="L80" s="758"/>
      <c r="M80" s="758"/>
      <c r="N80" s="758"/>
      <c r="O80" s="758"/>
      <c r="P80" s="758"/>
      <c r="Q80" s="758"/>
      <c r="R80" s="758"/>
      <c r="S80" s="758"/>
      <c r="T80" s="758"/>
      <c r="U80" s="758"/>
      <c r="V80" s="758"/>
      <c r="W80" s="758"/>
      <c r="X80" s="758"/>
      <c r="Y80" s="815"/>
      <c r="Z80" s="419"/>
      <c r="AA80" s="411"/>
      <c r="AB80" s="411"/>
      <c r="AC80" s="411"/>
      <c r="AD80" s="411"/>
      <c r="AE80" s="411"/>
      <c r="AF80" s="411"/>
      <c r="AG80" s="411"/>
      <c r="AH80" s="411"/>
      <c r="AI80" s="411"/>
      <c r="AJ80" s="411"/>
      <c r="AK80" s="411"/>
      <c r="AL80" s="411"/>
      <c r="AM80" s="306"/>
    </row>
    <row r="81" spans="1:39" s="283" customFormat="1" ht="15" outlineLevel="1">
      <c r="A81" s="504">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772"/>
      <c r="Z81" s="414"/>
      <c r="AA81" s="414"/>
      <c r="AB81" s="414"/>
      <c r="AC81" s="414"/>
      <c r="AD81" s="414"/>
      <c r="AE81" s="414"/>
      <c r="AF81" s="414"/>
      <c r="AG81" s="414"/>
      <c r="AH81" s="414"/>
      <c r="AI81" s="414"/>
      <c r="AJ81" s="414"/>
      <c r="AK81" s="414"/>
      <c r="AL81" s="414"/>
      <c r="AM81" s="296">
        <f>SUM(Y81:AL81)</f>
        <v>0</v>
      </c>
    </row>
    <row r="82" spans="1:39" s="283" customFormat="1" ht="15" outlineLevel="1">
      <c r="A82" s="504"/>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776">
        <f>Y81</f>
        <v>0</v>
      </c>
      <c r="Z82" s="410">
        <f>Z81</f>
        <v>0</v>
      </c>
      <c r="AA82" s="410">
        <f t="shared" ref="AA82:AL82" si="27">AA81</f>
        <v>0</v>
      </c>
      <c r="AB82" s="410">
        <f t="shared" si="27"/>
        <v>0</v>
      </c>
      <c r="AC82" s="410">
        <f t="shared" si="27"/>
        <v>0</v>
      </c>
      <c r="AD82" s="410">
        <f t="shared" si="27"/>
        <v>0</v>
      </c>
      <c r="AE82" s="410">
        <f t="shared" si="27"/>
        <v>0</v>
      </c>
      <c r="AF82" s="410">
        <f t="shared" si="27"/>
        <v>0</v>
      </c>
      <c r="AG82" s="410">
        <f t="shared" si="27"/>
        <v>0</v>
      </c>
      <c r="AH82" s="410">
        <f t="shared" si="27"/>
        <v>0</v>
      </c>
      <c r="AI82" s="410">
        <f t="shared" si="27"/>
        <v>0</v>
      </c>
      <c r="AJ82" s="410">
        <f t="shared" si="27"/>
        <v>0</v>
      </c>
      <c r="AK82" s="410">
        <f t="shared" si="27"/>
        <v>0</v>
      </c>
      <c r="AL82" s="410">
        <f t="shared" si="27"/>
        <v>0</v>
      </c>
      <c r="AM82" s="306"/>
    </row>
    <row r="83" spans="1:39" s="283" customFormat="1" ht="15" outlineLevel="1">
      <c r="A83" s="504"/>
      <c r="B83" s="315"/>
      <c r="C83" s="305"/>
      <c r="D83" s="758"/>
      <c r="E83" s="758"/>
      <c r="F83" s="758"/>
      <c r="G83" s="758"/>
      <c r="H83" s="758"/>
      <c r="I83" s="758"/>
      <c r="J83" s="758"/>
      <c r="K83" s="758"/>
      <c r="L83" s="758"/>
      <c r="M83" s="758"/>
      <c r="N83" s="816"/>
      <c r="O83" s="758"/>
      <c r="P83" s="758"/>
      <c r="Q83" s="758"/>
      <c r="R83" s="758"/>
      <c r="S83" s="758"/>
      <c r="T83" s="758"/>
      <c r="U83" s="758"/>
      <c r="V83" s="758"/>
      <c r="W83" s="758"/>
      <c r="X83" s="758"/>
      <c r="Y83" s="777"/>
      <c r="Z83" s="411"/>
      <c r="AA83" s="411"/>
      <c r="AB83" s="411"/>
      <c r="AC83" s="411"/>
      <c r="AD83" s="411"/>
      <c r="AE83" s="411"/>
      <c r="AF83" s="411"/>
      <c r="AG83" s="411"/>
      <c r="AH83" s="411"/>
      <c r="AI83" s="411"/>
      <c r="AJ83" s="411"/>
      <c r="AK83" s="411"/>
      <c r="AL83" s="411"/>
      <c r="AM83" s="306"/>
    </row>
    <row r="84" spans="1:39" s="283" customFormat="1" ht="15" outlineLevel="1">
      <c r="A84" s="504">
        <v>21</v>
      </c>
      <c r="B84" s="315" t="s">
        <v>22</v>
      </c>
      <c r="C84" s="291" t="s">
        <v>25</v>
      </c>
      <c r="D84" s="295">
        <f>+'7.  Persistence Report'!AQ62</f>
        <v>271185.08689651696</v>
      </c>
      <c r="E84" s="295">
        <f>+'7.  Persistence Report'!AR62</f>
        <v>271185.08689651696</v>
      </c>
      <c r="F84" s="295">
        <f>+'7.  Persistence Report'!AS62</f>
        <v>271185.08689651696</v>
      </c>
      <c r="G84" s="295">
        <f>+'7.  Persistence Report'!AT62</f>
        <v>271185.08689651696</v>
      </c>
      <c r="H84" s="295">
        <f>+'7.  Persistence Report'!AU62</f>
        <v>271185.08689651696</v>
      </c>
      <c r="I84" s="295">
        <f>+'7.  Persistence Report'!AV62</f>
        <v>271185.08689651696</v>
      </c>
      <c r="J84" s="295">
        <f>+'7.  Persistence Report'!AW62</f>
        <v>260331.21000433038</v>
      </c>
      <c r="K84" s="295">
        <f>+'7.  Persistence Report'!AX62</f>
        <v>260331.21000433038</v>
      </c>
      <c r="L84" s="295">
        <f>+'7.  Persistence Report'!AY62</f>
        <v>246569.37400410365</v>
      </c>
      <c r="M84" s="295">
        <f>+'7.  Persistence Report'!AZ62</f>
        <v>246569.37400410365</v>
      </c>
      <c r="N84" s="295">
        <v>12</v>
      </c>
      <c r="O84" s="295">
        <f>+'7.  Persistence Report'!L62</f>
        <v>39.952116108783223</v>
      </c>
      <c r="P84" s="295">
        <f>+'7.  Persistence Report'!M62</f>
        <v>39.952116108783223</v>
      </c>
      <c r="Q84" s="295">
        <f>+'7.  Persistence Report'!N62</f>
        <v>39.952116108783223</v>
      </c>
      <c r="R84" s="295">
        <f>+'7.  Persistence Report'!O62</f>
        <v>39.952116108783223</v>
      </c>
      <c r="S84" s="295">
        <f>+'7.  Persistence Report'!P62</f>
        <v>39.952116108783223</v>
      </c>
      <c r="T84" s="295">
        <f>+'7.  Persistence Report'!Q62</f>
        <v>39.952116108783223</v>
      </c>
      <c r="U84" s="295">
        <f>+'7.  Persistence Report'!R62</f>
        <v>37.123346646414682</v>
      </c>
      <c r="V84" s="295">
        <f>+'7.  Persistence Report'!S62</f>
        <v>37.123346646414682</v>
      </c>
      <c r="W84" s="295">
        <f>+'7.  Persistence Report'!T62</f>
        <v>33.53669629002551</v>
      </c>
      <c r="X84" s="295">
        <f>+'7.  Persistence Report'!U62</f>
        <v>33.53669629002551</v>
      </c>
      <c r="Y84" s="772"/>
      <c r="Z84" s="773"/>
      <c r="AA84" s="773">
        <v>1</v>
      </c>
      <c r="AB84" s="414"/>
      <c r="AC84" s="414"/>
      <c r="AD84" s="414"/>
      <c r="AE84" s="414"/>
      <c r="AF84" s="414"/>
      <c r="AG84" s="414"/>
      <c r="AH84" s="414"/>
      <c r="AI84" s="414"/>
      <c r="AJ84" s="414"/>
      <c r="AK84" s="414"/>
      <c r="AL84" s="414"/>
      <c r="AM84" s="296">
        <f>SUM(Y84:AL84)</f>
        <v>1</v>
      </c>
    </row>
    <row r="85" spans="1:39" s="283" customFormat="1" ht="15" outlineLevel="1">
      <c r="A85" s="504"/>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776">
        <f>Y84</f>
        <v>0</v>
      </c>
      <c r="Z85" s="776">
        <f>Z84</f>
        <v>0</v>
      </c>
      <c r="AA85" s="776">
        <f t="shared" ref="AA85" si="28">AA84</f>
        <v>1</v>
      </c>
      <c r="AB85" s="410">
        <f t="shared" ref="AB85:AL85" si="29">AB84</f>
        <v>0</v>
      </c>
      <c r="AC85" s="410">
        <f t="shared" si="29"/>
        <v>0</v>
      </c>
      <c r="AD85" s="410">
        <f t="shared" si="29"/>
        <v>0</v>
      </c>
      <c r="AE85" s="410">
        <f t="shared" si="29"/>
        <v>0</v>
      </c>
      <c r="AF85" s="410">
        <f t="shared" si="29"/>
        <v>0</v>
      </c>
      <c r="AG85" s="410">
        <f t="shared" si="29"/>
        <v>0</v>
      </c>
      <c r="AH85" s="410">
        <f t="shared" si="29"/>
        <v>0</v>
      </c>
      <c r="AI85" s="410">
        <f t="shared" si="29"/>
        <v>0</v>
      </c>
      <c r="AJ85" s="410">
        <f t="shared" si="29"/>
        <v>0</v>
      </c>
      <c r="AK85" s="410">
        <f t="shared" si="29"/>
        <v>0</v>
      </c>
      <c r="AL85" s="410">
        <f t="shared" si="29"/>
        <v>0</v>
      </c>
      <c r="AM85" s="297"/>
    </row>
    <row r="86" spans="1:39" s="283" customFormat="1" ht="15" outlineLevel="1">
      <c r="A86" s="504"/>
      <c r="B86" s="315"/>
      <c r="C86" s="305"/>
      <c r="D86" s="758"/>
      <c r="E86" s="758"/>
      <c r="F86" s="758"/>
      <c r="G86" s="758"/>
      <c r="H86" s="758"/>
      <c r="I86" s="758"/>
      <c r="J86" s="758"/>
      <c r="K86" s="758"/>
      <c r="L86" s="758"/>
      <c r="M86" s="758"/>
      <c r="N86" s="758"/>
      <c r="O86" s="758"/>
      <c r="P86" s="758"/>
      <c r="Q86" s="758"/>
      <c r="R86" s="758"/>
      <c r="S86" s="758"/>
      <c r="T86" s="758"/>
      <c r="U86" s="758"/>
      <c r="V86" s="758"/>
      <c r="W86" s="758"/>
      <c r="X86" s="758"/>
      <c r="Y86" s="815"/>
      <c r="Z86" s="777"/>
      <c r="AA86" s="777"/>
      <c r="AB86" s="411"/>
      <c r="AC86" s="411"/>
      <c r="AD86" s="411"/>
      <c r="AE86" s="411"/>
      <c r="AF86" s="411"/>
      <c r="AG86" s="411"/>
      <c r="AH86" s="411"/>
      <c r="AI86" s="411"/>
      <c r="AJ86" s="411"/>
      <c r="AK86" s="411"/>
      <c r="AL86" s="411"/>
      <c r="AM86" s="306"/>
    </row>
    <row r="87" spans="1:39" s="283" customFormat="1" ht="15" outlineLevel="1">
      <c r="A87" s="504">
        <v>22</v>
      </c>
      <c r="B87" s="315" t="s">
        <v>9</v>
      </c>
      <c r="C87" s="291" t="s">
        <v>25</v>
      </c>
      <c r="D87" s="295">
        <f>+'7.  Persistence Report'!AQ61</f>
        <v>85284.719999999987</v>
      </c>
      <c r="E87" s="295">
        <f>+'7.  Persistence Report'!AR61</f>
        <v>0</v>
      </c>
      <c r="F87" s="295">
        <f>+'7.  Persistence Report'!AS61</f>
        <v>0</v>
      </c>
      <c r="G87" s="295">
        <f>+'7.  Persistence Report'!AT61</f>
        <v>0</v>
      </c>
      <c r="H87" s="295">
        <f>+'7.  Persistence Report'!AU61</f>
        <v>0</v>
      </c>
      <c r="I87" s="295">
        <f>+'7.  Persistence Report'!AV61</f>
        <v>0</v>
      </c>
      <c r="J87" s="295">
        <f>+'7.  Persistence Report'!AW61</f>
        <v>0</v>
      </c>
      <c r="K87" s="295">
        <f>+'7.  Persistence Report'!AX61</f>
        <v>0</v>
      </c>
      <c r="L87" s="295">
        <f>+'7.  Persistence Report'!AY61</f>
        <v>0</v>
      </c>
      <c r="M87" s="295">
        <f>+'7.  Persistence Report'!AZ61</f>
        <v>0</v>
      </c>
      <c r="N87" s="758"/>
      <c r="O87" s="295">
        <f>+'7.  Persistence Report'!L61</f>
        <v>1452.9179999999999</v>
      </c>
      <c r="P87" s="295">
        <f>+'7.  Persistence Report'!M61</f>
        <v>0</v>
      </c>
      <c r="Q87" s="295">
        <f>+'7.  Persistence Report'!N61</f>
        <v>0</v>
      </c>
      <c r="R87" s="295">
        <f>+'7.  Persistence Report'!O61</f>
        <v>0</v>
      </c>
      <c r="S87" s="295">
        <f>+'7.  Persistence Report'!P61</f>
        <v>0</v>
      </c>
      <c r="T87" s="295">
        <f>+'7.  Persistence Report'!Q61</f>
        <v>0</v>
      </c>
      <c r="U87" s="295">
        <f>+'7.  Persistence Report'!R61</f>
        <v>0</v>
      </c>
      <c r="V87" s="295">
        <f>+'7.  Persistence Report'!S61</f>
        <v>0</v>
      </c>
      <c r="W87" s="295">
        <f>+'7.  Persistence Report'!T61</f>
        <v>0</v>
      </c>
      <c r="X87" s="295">
        <f>+'7.  Persistence Report'!U61</f>
        <v>0</v>
      </c>
      <c r="Y87" s="772"/>
      <c r="Z87" s="773"/>
      <c r="AA87" s="773">
        <v>1</v>
      </c>
      <c r="AB87" s="414"/>
      <c r="AC87" s="414"/>
      <c r="AD87" s="414"/>
      <c r="AE87" s="414"/>
      <c r="AF87" s="414"/>
      <c r="AG87" s="414"/>
      <c r="AH87" s="414"/>
      <c r="AI87" s="414"/>
      <c r="AJ87" s="414"/>
      <c r="AK87" s="414"/>
      <c r="AL87" s="414"/>
      <c r="AM87" s="296">
        <f>SUM(Y87:AL87)</f>
        <v>1</v>
      </c>
    </row>
    <row r="88" spans="1:39" s="283" customFormat="1" ht="15" outlineLevel="1">
      <c r="A88" s="504"/>
      <c r="B88" s="315" t="s">
        <v>214</v>
      </c>
      <c r="C88" s="291" t="s">
        <v>163</v>
      </c>
      <c r="D88" s="295"/>
      <c r="E88" s="295"/>
      <c r="F88" s="295"/>
      <c r="G88" s="295"/>
      <c r="H88" s="295"/>
      <c r="I88" s="295"/>
      <c r="J88" s="295"/>
      <c r="K88" s="295"/>
      <c r="L88" s="295"/>
      <c r="M88" s="295"/>
      <c r="N88" s="758"/>
      <c r="O88" s="295"/>
      <c r="P88" s="295"/>
      <c r="Q88" s="295"/>
      <c r="R88" s="295"/>
      <c r="S88" s="295"/>
      <c r="T88" s="295"/>
      <c r="U88" s="295"/>
      <c r="V88" s="295"/>
      <c r="W88" s="295"/>
      <c r="X88" s="295"/>
      <c r="Y88" s="776">
        <f>Y87</f>
        <v>0</v>
      </c>
      <c r="Z88" s="776">
        <f>Z87</f>
        <v>0</v>
      </c>
      <c r="AA88" s="776">
        <f t="shared" ref="AA88" si="30">AA87</f>
        <v>1</v>
      </c>
      <c r="AB88" s="410">
        <f t="shared" ref="AB88:AL88" si="31">AB87</f>
        <v>0</v>
      </c>
      <c r="AC88" s="410">
        <f t="shared" si="31"/>
        <v>0</v>
      </c>
      <c r="AD88" s="410">
        <f t="shared" si="31"/>
        <v>0</v>
      </c>
      <c r="AE88" s="410">
        <f t="shared" si="31"/>
        <v>0</v>
      </c>
      <c r="AF88" s="410">
        <f t="shared" si="31"/>
        <v>0</v>
      </c>
      <c r="AG88" s="410">
        <f t="shared" si="31"/>
        <v>0</v>
      </c>
      <c r="AH88" s="410">
        <f t="shared" si="31"/>
        <v>0</v>
      </c>
      <c r="AI88" s="410">
        <f t="shared" si="31"/>
        <v>0</v>
      </c>
      <c r="AJ88" s="410">
        <f t="shared" si="31"/>
        <v>0</v>
      </c>
      <c r="AK88" s="410">
        <f t="shared" si="31"/>
        <v>0</v>
      </c>
      <c r="AL88" s="410">
        <f t="shared" si="31"/>
        <v>0</v>
      </c>
      <c r="AM88" s="306"/>
    </row>
    <row r="89" spans="1:39" s="283" customFormat="1" ht="15" outlineLevel="1">
      <c r="A89" s="504"/>
      <c r="B89" s="315"/>
      <c r="C89" s="305"/>
      <c r="D89" s="758"/>
      <c r="E89" s="758"/>
      <c r="F89" s="758"/>
      <c r="G89" s="758"/>
      <c r="H89" s="758"/>
      <c r="I89" s="758"/>
      <c r="J89" s="758"/>
      <c r="K89" s="758"/>
      <c r="L89" s="758"/>
      <c r="M89" s="758"/>
      <c r="N89" s="758"/>
      <c r="O89" s="758"/>
      <c r="P89" s="758"/>
      <c r="Q89" s="758"/>
      <c r="R89" s="758"/>
      <c r="S89" s="758"/>
      <c r="T89" s="758"/>
      <c r="U89" s="758"/>
      <c r="V89" s="758"/>
      <c r="W89" s="758"/>
      <c r="X89" s="758"/>
      <c r="Y89" s="777"/>
      <c r="Z89" s="411"/>
      <c r="AA89" s="411"/>
      <c r="AB89" s="411"/>
      <c r="AC89" s="411"/>
      <c r="AD89" s="411"/>
      <c r="AE89" s="411"/>
      <c r="AF89" s="411"/>
      <c r="AG89" s="411"/>
      <c r="AH89" s="411"/>
      <c r="AI89" s="411"/>
      <c r="AJ89" s="411"/>
      <c r="AK89" s="411"/>
      <c r="AL89" s="411"/>
      <c r="AM89" s="306"/>
    </row>
    <row r="90" spans="1:39" s="293" customFormat="1" ht="15.75" outlineLevel="1">
      <c r="A90" s="505"/>
      <c r="B90" s="288" t="s">
        <v>14</v>
      </c>
      <c r="C90" s="289"/>
      <c r="D90" s="763"/>
      <c r="E90" s="763"/>
      <c r="F90" s="763"/>
      <c r="G90" s="763"/>
      <c r="H90" s="763"/>
      <c r="I90" s="763"/>
      <c r="J90" s="763"/>
      <c r="K90" s="763"/>
      <c r="L90" s="763"/>
      <c r="M90" s="763"/>
      <c r="N90" s="763"/>
      <c r="O90" s="763"/>
      <c r="P90" s="762"/>
      <c r="Q90" s="762"/>
      <c r="R90" s="762"/>
      <c r="S90" s="762"/>
      <c r="T90" s="762"/>
      <c r="U90" s="762"/>
      <c r="V90" s="762"/>
      <c r="W90" s="762"/>
      <c r="X90" s="762"/>
      <c r="Y90" s="811"/>
      <c r="Z90" s="413"/>
      <c r="AA90" s="413"/>
      <c r="AB90" s="413"/>
      <c r="AC90" s="413"/>
      <c r="AD90" s="413"/>
      <c r="AE90" s="413"/>
      <c r="AF90" s="413"/>
      <c r="AG90" s="413"/>
      <c r="AH90" s="413"/>
      <c r="AI90" s="413"/>
      <c r="AJ90" s="413"/>
      <c r="AK90" s="413"/>
      <c r="AL90" s="413"/>
      <c r="AM90" s="292"/>
    </row>
    <row r="91" spans="1:39" s="283" customFormat="1" ht="15" outlineLevel="1">
      <c r="A91" s="504">
        <v>23</v>
      </c>
      <c r="B91" s="315" t="s">
        <v>14</v>
      </c>
      <c r="C91" s="291" t="s">
        <v>25</v>
      </c>
      <c r="D91" s="295"/>
      <c r="E91" s="295"/>
      <c r="F91" s="295"/>
      <c r="G91" s="295"/>
      <c r="H91" s="295"/>
      <c r="I91" s="295"/>
      <c r="J91" s="295"/>
      <c r="K91" s="295"/>
      <c r="L91" s="295"/>
      <c r="M91" s="295"/>
      <c r="N91" s="758"/>
      <c r="O91" s="295"/>
      <c r="P91" s="295"/>
      <c r="Q91" s="295"/>
      <c r="R91" s="295"/>
      <c r="S91" s="295"/>
      <c r="T91" s="295"/>
      <c r="U91" s="295"/>
      <c r="V91" s="295"/>
      <c r="W91" s="295"/>
      <c r="X91" s="295"/>
      <c r="Y91" s="772"/>
      <c r="Z91" s="409"/>
      <c r="AA91" s="409"/>
      <c r="AB91" s="409"/>
      <c r="AC91" s="409"/>
      <c r="AD91" s="409"/>
      <c r="AE91" s="409"/>
      <c r="AF91" s="409"/>
      <c r="AG91" s="409"/>
      <c r="AH91" s="409"/>
      <c r="AI91" s="409"/>
      <c r="AJ91" s="409"/>
      <c r="AK91" s="409"/>
      <c r="AL91" s="409"/>
      <c r="AM91" s="296">
        <f>SUM(Y91:AL91)</f>
        <v>0</v>
      </c>
    </row>
    <row r="92" spans="1:39" s="283" customFormat="1" ht="15" outlineLevel="1">
      <c r="A92" s="504"/>
      <c r="B92" s="315" t="s">
        <v>214</v>
      </c>
      <c r="C92" s="291" t="s">
        <v>163</v>
      </c>
      <c r="D92" s="295"/>
      <c r="E92" s="295"/>
      <c r="F92" s="295"/>
      <c r="G92" s="295"/>
      <c r="H92" s="295"/>
      <c r="I92" s="295"/>
      <c r="J92" s="295"/>
      <c r="K92" s="295"/>
      <c r="L92" s="295"/>
      <c r="M92" s="295"/>
      <c r="N92" s="759"/>
      <c r="O92" s="295"/>
      <c r="P92" s="295"/>
      <c r="Q92" s="295"/>
      <c r="R92" s="295"/>
      <c r="S92" s="295"/>
      <c r="T92" s="295"/>
      <c r="U92" s="295"/>
      <c r="V92" s="295"/>
      <c r="W92" s="295"/>
      <c r="X92" s="295"/>
      <c r="Y92" s="776">
        <f>Y91</f>
        <v>0</v>
      </c>
      <c r="Z92" s="410">
        <f>Z91</f>
        <v>0</v>
      </c>
      <c r="AA92" s="410">
        <f t="shared" ref="AA92:AL92" si="32">AA91</f>
        <v>0</v>
      </c>
      <c r="AB92" s="410">
        <f t="shared" si="32"/>
        <v>0</v>
      </c>
      <c r="AC92" s="410">
        <f t="shared" si="32"/>
        <v>0</v>
      </c>
      <c r="AD92" s="410">
        <f t="shared" si="32"/>
        <v>0</v>
      </c>
      <c r="AE92" s="410">
        <f t="shared" si="32"/>
        <v>0</v>
      </c>
      <c r="AF92" s="410">
        <f t="shared" si="32"/>
        <v>0</v>
      </c>
      <c r="AG92" s="410">
        <f t="shared" si="32"/>
        <v>0</v>
      </c>
      <c r="AH92" s="410">
        <f t="shared" si="32"/>
        <v>0</v>
      </c>
      <c r="AI92" s="410">
        <f t="shared" si="32"/>
        <v>0</v>
      </c>
      <c r="AJ92" s="410">
        <f t="shared" si="32"/>
        <v>0</v>
      </c>
      <c r="AK92" s="410">
        <f t="shared" si="32"/>
        <v>0</v>
      </c>
      <c r="AL92" s="410">
        <f t="shared" si="32"/>
        <v>0</v>
      </c>
      <c r="AM92" s="297"/>
    </row>
    <row r="93" spans="1:39" s="283" customFormat="1" ht="15" outlineLevel="1">
      <c r="A93" s="504"/>
      <c r="B93" s="315"/>
      <c r="C93" s="305"/>
      <c r="D93" s="758"/>
      <c r="E93" s="758"/>
      <c r="F93" s="758"/>
      <c r="G93" s="758"/>
      <c r="H93" s="758"/>
      <c r="I93" s="758"/>
      <c r="J93" s="758"/>
      <c r="K93" s="758"/>
      <c r="L93" s="758"/>
      <c r="M93" s="758"/>
      <c r="N93" s="758"/>
      <c r="O93" s="758"/>
      <c r="P93" s="758"/>
      <c r="Q93" s="758"/>
      <c r="R93" s="758"/>
      <c r="S93" s="758"/>
      <c r="T93" s="758"/>
      <c r="U93" s="758"/>
      <c r="V93" s="758"/>
      <c r="W93" s="758"/>
      <c r="X93" s="758"/>
      <c r="Y93" s="777"/>
      <c r="Z93" s="411"/>
      <c r="AA93" s="411"/>
      <c r="AB93" s="411"/>
      <c r="AC93" s="411"/>
      <c r="AD93" s="411"/>
      <c r="AE93" s="411"/>
      <c r="AF93" s="411"/>
      <c r="AG93" s="411"/>
      <c r="AH93" s="411"/>
      <c r="AI93" s="411"/>
      <c r="AJ93" s="411"/>
      <c r="AK93" s="411"/>
      <c r="AL93" s="411"/>
      <c r="AM93" s="306"/>
    </row>
    <row r="94" spans="1:39" s="293" customFormat="1" ht="15.75" outlineLevel="1">
      <c r="A94" s="505"/>
      <c r="B94" s="288" t="s">
        <v>488</v>
      </c>
      <c r="C94" s="289"/>
      <c r="D94" s="763"/>
      <c r="E94" s="763"/>
      <c r="F94" s="763"/>
      <c r="G94" s="763"/>
      <c r="H94" s="763"/>
      <c r="I94" s="763"/>
      <c r="J94" s="763"/>
      <c r="K94" s="763"/>
      <c r="L94" s="763"/>
      <c r="M94" s="763"/>
      <c r="N94" s="763"/>
      <c r="O94" s="763"/>
      <c r="P94" s="762"/>
      <c r="Q94" s="762"/>
      <c r="R94" s="762"/>
      <c r="S94" s="762"/>
      <c r="T94" s="762"/>
      <c r="U94" s="762"/>
      <c r="V94" s="762"/>
      <c r="W94" s="762"/>
      <c r="X94" s="762"/>
      <c r="Y94" s="811"/>
      <c r="Z94" s="413"/>
      <c r="AA94" s="413"/>
      <c r="AB94" s="413"/>
      <c r="AC94" s="413"/>
      <c r="AD94" s="413"/>
      <c r="AE94" s="413"/>
      <c r="AF94" s="413"/>
      <c r="AG94" s="413"/>
      <c r="AH94" s="413"/>
      <c r="AI94" s="413"/>
      <c r="AJ94" s="413"/>
      <c r="AK94" s="413"/>
      <c r="AL94" s="413"/>
      <c r="AM94" s="292"/>
    </row>
    <row r="95" spans="1:39" s="283" customFormat="1" ht="15" outlineLevel="1">
      <c r="A95" s="504">
        <v>24</v>
      </c>
      <c r="B95" s="315" t="s">
        <v>14</v>
      </c>
      <c r="C95" s="291" t="s">
        <v>25</v>
      </c>
      <c r="D95" s="295"/>
      <c r="E95" s="295"/>
      <c r="F95" s="295"/>
      <c r="G95" s="295"/>
      <c r="H95" s="295"/>
      <c r="I95" s="295"/>
      <c r="J95" s="295"/>
      <c r="K95" s="295"/>
      <c r="L95" s="295"/>
      <c r="M95" s="295"/>
      <c r="N95" s="758"/>
      <c r="O95" s="295"/>
      <c r="P95" s="295"/>
      <c r="Q95" s="295"/>
      <c r="R95" s="295"/>
      <c r="S95" s="295"/>
      <c r="T95" s="295"/>
      <c r="U95" s="295"/>
      <c r="V95" s="295"/>
      <c r="W95" s="295"/>
      <c r="X95" s="295"/>
      <c r="Y95" s="772"/>
      <c r="Z95" s="409"/>
      <c r="AA95" s="409"/>
      <c r="AB95" s="409"/>
      <c r="AC95" s="409"/>
      <c r="AD95" s="409"/>
      <c r="AE95" s="409"/>
      <c r="AF95" s="409"/>
      <c r="AG95" s="409"/>
      <c r="AH95" s="409"/>
      <c r="AI95" s="409"/>
      <c r="AJ95" s="409"/>
      <c r="AK95" s="409"/>
      <c r="AL95" s="409"/>
      <c r="AM95" s="296">
        <f>SUM(Y95:AL95)</f>
        <v>0</v>
      </c>
    </row>
    <row r="96" spans="1:39" s="283" customFormat="1" ht="15" outlineLevel="1">
      <c r="A96" s="504"/>
      <c r="B96" s="315" t="s">
        <v>214</v>
      </c>
      <c r="C96" s="291" t="s">
        <v>163</v>
      </c>
      <c r="D96" s="295"/>
      <c r="E96" s="295"/>
      <c r="F96" s="295"/>
      <c r="G96" s="295"/>
      <c r="H96" s="295"/>
      <c r="I96" s="295"/>
      <c r="J96" s="295"/>
      <c r="K96" s="295"/>
      <c r="L96" s="295"/>
      <c r="M96" s="295"/>
      <c r="N96" s="759"/>
      <c r="O96" s="295"/>
      <c r="P96" s="295"/>
      <c r="Q96" s="295"/>
      <c r="R96" s="295"/>
      <c r="S96" s="295"/>
      <c r="T96" s="295"/>
      <c r="U96" s="295"/>
      <c r="V96" s="295"/>
      <c r="W96" s="295"/>
      <c r="X96" s="295"/>
      <c r="Y96" s="776">
        <f>Y95</f>
        <v>0</v>
      </c>
      <c r="Z96" s="410">
        <f>Z95</f>
        <v>0</v>
      </c>
      <c r="AA96" s="410">
        <f t="shared" ref="AA96:AL96" si="33">AA95</f>
        <v>0</v>
      </c>
      <c r="AB96" s="410">
        <f t="shared" si="33"/>
        <v>0</v>
      </c>
      <c r="AC96" s="410">
        <f t="shared" si="33"/>
        <v>0</v>
      </c>
      <c r="AD96" s="410">
        <f t="shared" si="33"/>
        <v>0</v>
      </c>
      <c r="AE96" s="410">
        <f t="shared" si="33"/>
        <v>0</v>
      </c>
      <c r="AF96" s="410">
        <f t="shared" si="33"/>
        <v>0</v>
      </c>
      <c r="AG96" s="410">
        <f t="shared" si="33"/>
        <v>0</v>
      </c>
      <c r="AH96" s="410">
        <f t="shared" si="33"/>
        <v>0</v>
      </c>
      <c r="AI96" s="410">
        <f t="shared" si="33"/>
        <v>0</v>
      </c>
      <c r="AJ96" s="410">
        <f t="shared" si="33"/>
        <v>0</v>
      </c>
      <c r="AK96" s="410">
        <f t="shared" si="33"/>
        <v>0</v>
      </c>
      <c r="AL96" s="410">
        <f t="shared" si="33"/>
        <v>0</v>
      </c>
      <c r="AM96" s="297"/>
    </row>
    <row r="97" spans="1:39" s="283" customFormat="1" ht="15" outlineLevel="1">
      <c r="A97" s="504"/>
      <c r="B97" s="315"/>
      <c r="C97" s="305"/>
      <c r="D97" s="758"/>
      <c r="E97" s="758"/>
      <c r="F97" s="758"/>
      <c r="G97" s="758"/>
      <c r="H97" s="758"/>
      <c r="I97" s="758"/>
      <c r="J97" s="758"/>
      <c r="K97" s="758"/>
      <c r="L97" s="758"/>
      <c r="M97" s="758"/>
      <c r="N97" s="758"/>
      <c r="O97" s="758"/>
      <c r="P97" s="758"/>
      <c r="Q97" s="758"/>
      <c r="R97" s="758"/>
      <c r="S97" s="758"/>
      <c r="T97" s="758"/>
      <c r="U97" s="758"/>
      <c r="V97" s="758"/>
      <c r="W97" s="758"/>
      <c r="X97" s="758"/>
      <c r="Y97" s="777"/>
      <c r="Z97" s="411"/>
      <c r="AA97" s="411"/>
      <c r="AB97" s="411"/>
      <c r="AC97" s="411"/>
      <c r="AD97" s="411"/>
      <c r="AE97" s="411"/>
      <c r="AF97" s="411"/>
      <c r="AG97" s="411"/>
      <c r="AH97" s="411"/>
      <c r="AI97" s="411"/>
      <c r="AJ97" s="411"/>
      <c r="AK97" s="411"/>
      <c r="AL97" s="411"/>
      <c r="AM97" s="306"/>
    </row>
    <row r="98" spans="1:39" s="283" customFormat="1" ht="15" outlineLevel="1">
      <c r="A98" s="504">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773"/>
      <c r="Z98" s="414"/>
      <c r="AA98" s="414"/>
      <c r="AB98" s="414"/>
      <c r="AC98" s="414"/>
      <c r="AD98" s="414"/>
      <c r="AE98" s="414"/>
      <c r="AF98" s="414"/>
      <c r="AG98" s="414"/>
      <c r="AH98" s="414"/>
      <c r="AI98" s="414"/>
      <c r="AJ98" s="414"/>
      <c r="AK98" s="414"/>
      <c r="AL98" s="414"/>
      <c r="AM98" s="296">
        <f>SUM(Y98:AL98)</f>
        <v>0</v>
      </c>
    </row>
    <row r="99" spans="1:39" s="283" customFormat="1" ht="15" outlineLevel="1">
      <c r="A99" s="504"/>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776">
        <f>Y98</f>
        <v>0</v>
      </c>
      <c r="Z99" s="410">
        <f>Z98</f>
        <v>0</v>
      </c>
      <c r="AA99" s="410">
        <f t="shared" ref="AA99:AL99" si="34">AA98</f>
        <v>0</v>
      </c>
      <c r="AB99" s="410">
        <f t="shared" si="34"/>
        <v>0</v>
      </c>
      <c r="AC99" s="410">
        <f t="shared" si="34"/>
        <v>0</v>
      </c>
      <c r="AD99" s="410">
        <f t="shared" si="34"/>
        <v>0</v>
      </c>
      <c r="AE99" s="410">
        <f t="shared" si="34"/>
        <v>0</v>
      </c>
      <c r="AF99" s="410">
        <f t="shared" si="34"/>
        <v>0</v>
      </c>
      <c r="AG99" s="410">
        <f t="shared" si="34"/>
        <v>0</v>
      </c>
      <c r="AH99" s="410">
        <f t="shared" si="34"/>
        <v>0</v>
      </c>
      <c r="AI99" s="410">
        <f t="shared" si="34"/>
        <v>0</v>
      </c>
      <c r="AJ99" s="410">
        <f t="shared" si="34"/>
        <v>0</v>
      </c>
      <c r="AK99" s="410">
        <f t="shared" si="34"/>
        <v>0</v>
      </c>
      <c r="AL99" s="410">
        <f t="shared" si="34"/>
        <v>0</v>
      </c>
      <c r="AM99" s="311"/>
    </row>
    <row r="100" spans="1:39" s="283" customFormat="1" ht="15" outlineLevel="1">
      <c r="A100" s="504"/>
      <c r="B100" s="314"/>
      <c r="C100" s="312"/>
      <c r="D100" s="758"/>
      <c r="E100" s="758"/>
      <c r="F100" s="758"/>
      <c r="G100" s="758"/>
      <c r="H100" s="758"/>
      <c r="I100" s="758"/>
      <c r="J100" s="758"/>
      <c r="K100" s="758"/>
      <c r="L100" s="758"/>
      <c r="M100" s="758"/>
      <c r="N100" s="758"/>
      <c r="O100" s="758"/>
      <c r="P100" s="758"/>
      <c r="Q100" s="758"/>
      <c r="R100" s="758"/>
      <c r="S100" s="758"/>
      <c r="T100" s="758"/>
      <c r="U100" s="758"/>
      <c r="V100" s="758"/>
      <c r="W100" s="758"/>
      <c r="X100" s="758"/>
      <c r="Y100" s="812"/>
      <c r="Z100" s="416"/>
      <c r="AA100" s="415"/>
      <c r="AB100" s="415"/>
      <c r="AC100" s="415"/>
      <c r="AD100" s="415"/>
      <c r="AE100" s="415"/>
      <c r="AF100" s="415"/>
      <c r="AG100" s="415"/>
      <c r="AH100" s="415"/>
      <c r="AI100" s="415"/>
      <c r="AJ100" s="415"/>
      <c r="AK100" s="415"/>
      <c r="AL100" s="415"/>
      <c r="AM100" s="313"/>
    </row>
    <row r="101" spans="1:39" s="293" customFormat="1" ht="15.75" outlineLevel="1">
      <c r="A101" s="505"/>
      <c r="B101" s="288" t="s">
        <v>15</v>
      </c>
      <c r="C101" s="319"/>
      <c r="D101" s="763"/>
      <c r="E101" s="762"/>
      <c r="F101" s="762"/>
      <c r="G101" s="762"/>
      <c r="H101" s="762"/>
      <c r="I101" s="762"/>
      <c r="J101" s="762"/>
      <c r="K101" s="762"/>
      <c r="L101" s="762"/>
      <c r="M101" s="762"/>
      <c r="N101" s="758"/>
      <c r="O101" s="762"/>
      <c r="P101" s="762"/>
      <c r="Q101" s="762"/>
      <c r="R101" s="762"/>
      <c r="S101" s="762"/>
      <c r="T101" s="762"/>
      <c r="U101" s="762"/>
      <c r="V101" s="762"/>
      <c r="W101" s="762"/>
      <c r="X101" s="762"/>
      <c r="Y101" s="811"/>
      <c r="Z101" s="413"/>
      <c r="AA101" s="413"/>
      <c r="AB101" s="413"/>
      <c r="AC101" s="413"/>
      <c r="AD101" s="413"/>
      <c r="AE101" s="413"/>
      <c r="AF101" s="413"/>
      <c r="AG101" s="413"/>
      <c r="AH101" s="413"/>
      <c r="AI101" s="413"/>
      <c r="AJ101" s="413"/>
      <c r="AK101" s="413"/>
      <c r="AL101" s="413"/>
      <c r="AM101" s="292"/>
    </row>
    <row r="102" spans="1:39" s="283" customFormat="1" ht="15" outlineLevel="1">
      <c r="A102" s="504">
        <v>26</v>
      </c>
      <c r="B102" s="320" t="s">
        <v>16</v>
      </c>
      <c r="C102" s="291" t="s">
        <v>25</v>
      </c>
      <c r="D102" s="295">
        <f>+'7.  Persistence Report'!AQ63</f>
        <v>6580023.0343503272</v>
      </c>
      <c r="E102" s="295">
        <f>+'7.  Persistence Report'!AR63</f>
        <v>6580023.0343503272</v>
      </c>
      <c r="F102" s="295">
        <f>+'7.  Persistence Report'!AS63</f>
        <v>6580023.0343503272</v>
      </c>
      <c r="G102" s="295">
        <f>+'7.  Persistence Report'!AT63</f>
        <v>6580023.0343503272</v>
      </c>
      <c r="H102" s="295">
        <f>+'7.  Persistence Report'!AU63</f>
        <v>6580023.0343503272</v>
      </c>
      <c r="I102" s="295">
        <f>+'7.  Persistence Report'!AV63</f>
        <v>6580023.0343503272</v>
      </c>
      <c r="J102" s="295">
        <f>+'7.  Persistence Report'!AW63</f>
        <v>6580023.0343503272</v>
      </c>
      <c r="K102" s="295">
        <f>+'7.  Persistence Report'!AX63</f>
        <v>6580023.0343503272</v>
      </c>
      <c r="L102" s="295">
        <f>+'7.  Persistence Report'!AY63</f>
        <v>6580023.0343503272</v>
      </c>
      <c r="M102" s="295">
        <f>+'7.  Persistence Report'!AZ63</f>
        <v>6580023.0343503272</v>
      </c>
      <c r="N102" s="295">
        <v>12</v>
      </c>
      <c r="O102" s="295">
        <f>+'7.  Persistence Report'!L63</f>
        <v>964.17525581299992</v>
      </c>
      <c r="P102" s="295">
        <f>+'7.  Persistence Report'!M63</f>
        <v>964.17525581299992</v>
      </c>
      <c r="Q102" s="295">
        <f>+'7.  Persistence Report'!N63</f>
        <v>964.17525581299992</v>
      </c>
      <c r="R102" s="295">
        <f>+'7.  Persistence Report'!O63</f>
        <v>964.17525581299992</v>
      </c>
      <c r="S102" s="295">
        <f>+'7.  Persistence Report'!P63</f>
        <v>964.17525581299992</v>
      </c>
      <c r="T102" s="295">
        <f>+'7.  Persistence Report'!Q63</f>
        <v>964.17525581299992</v>
      </c>
      <c r="U102" s="295">
        <f>+'7.  Persistence Report'!R63</f>
        <v>964.17525581299992</v>
      </c>
      <c r="V102" s="295">
        <f>+'7.  Persistence Report'!S63</f>
        <v>964.17525581299992</v>
      </c>
      <c r="W102" s="295">
        <f>+'7.  Persistence Report'!T63</f>
        <v>964.17525581299992</v>
      </c>
      <c r="X102" s="295">
        <f>+'7.  Persistence Report'!U63</f>
        <v>964.17525581299992</v>
      </c>
      <c r="Y102" s="772"/>
      <c r="Z102" s="773">
        <v>0.14199999999999999</v>
      </c>
      <c r="AA102" s="773">
        <v>0.85799999999999998</v>
      </c>
      <c r="AB102" s="409"/>
      <c r="AC102" s="409"/>
      <c r="AD102" s="409"/>
      <c r="AE102" s="414"/>
      <c r="AF102" s="414"/>
      <c r="AG102" s="414"/>
      <c r="AH102" s="414"/>
      <c r="AI102" s="414"/>
      <c r="AJ102" s="414"/>
      <c r="AK102" s="414"/>
      <c r="AL102" s="414"/>
      <c r="AM102" s="296">
        <f>SUM(Y102:AL102)</f>
        <v>1</v>
      </c>
    </row>
    <row r="103" spans="1:39" s="283" customFormat="1" ht="15" outlineLevel="1">
      <c r="A103" s="504"/>
      <c r="B103" s="315" t="s">
        <v>214</v>
      </c>
      <c r="C103" s="291" t="s">
        <v>163</v>
      </c>
      <c r="D103" s="295">
        <f>+'7.  Persistence Report'!AQ69</f>
        <v>141575.81502064</v>
      </c>
      <c r="E103" s="295">
        <f>+'7.  Persistence Report'!AR69</f>
        <v>141575.81502064</v>
      </c>
      <c r="F103" s="295">
        <f>+'7.  Persistence Report'!AS69</f>
        <v>141575.81502064</v>
      </c>
      <c r="G103" s="295">
        <f>+'7.  Persistence Report'!AT69</f>
        <v>141575.81502064</v>
      </c>
      <c r="H103" s="295">
        <f>+'7.  Persistence Report'!AU69</f>
        <v>141575.81502064</v>
      </c>
      <c r="I103" s="295">
        <f>+'7.  Persistence Report'!AV69</f>
        <v>141575.81502064</v>
      </c>
      <c r="J103" s="295">
        <f>+'7.  Persistence Report'!AW69</f>
        <v>141575.81502064</v>
      </c>
      <c r="K103" s="295">
        <f>+'7.  Persistence Report'!AX69</f>
        <v>141575.81502064</v>
      </c>
      <c r="L103" s="295">
        <f>+'7.  Persistence Report'!AY69</f>
        <v>0</v>
      </c>
      <c r="M103" s="295">
        <f>+'7.  Persistence Report'!AZ69</f>
        <v>0</v>
      </c>
      <c r="N103" s="295">
        <f>N102</f>
        <v>12</v>
      </c>
      <c r="O103" s="295">
        <f>+'7.  Persistence Report'!L69</f>
        <v>23.283660400000002</v>
      </c>
      <c r="P103" s="295">
        <f>+'7.  Persistence Report'!M69</f>
        <v>23.283660400000002</v>
      </c>
      <c r="Q103" s="295">
        <f>+'7.  Persistence Report'!N69</f>
        <v>23.283660400000002</v>
      </c>
      <c r="R103" s="295">
        <f>+'7.  Persistence Report'!O69</f>
        <v>23.283660400000002</v>
      </c>
      <c r="S103" s="295">
        <f>+'7.  Persistence Report'!P69</f>
        <v>23.283660399999999</v>
      </c>
      <c r="T103" s="295">
        <f>+'7.  Persistence Report'!Q69</f>
        <v>23.283660399999999</v>
      </c>
      <c r="U103" s="295">
        <f>+'7.  Persistence Report'!R69</f>
        <v>23.283660399999999</v>
      </c>
      <c r="V103" s="295">
        <f>+'7.  Persistence Report'!S69</f>
        <v>23.283660399999999</v>
      </c>
      <c r="W103" s="295">
        <f>+'7.  Persistence Report'!T69</f>
        <v>0</v>
      </c>
      <c r="X103" s="295">
        <f>+'7.  Persistence Report'!U69</f>
        <v>0</v>
      </c>
      <c r="Y103" s="776">
        <f>Y102</f>
        <v>0</v>
      </c>
      <c r="Z103" s="776">
        <f>Z102</f>
        <v>0.14199999999999999</v>
      </c>
      <c r="AA103" s="776">
        <f t="shared" ref="AA103" si="35">AA102</f>
        <v>0.85799999999999998</v>
      </c>
      <c r="AB103" s="410">
        <f t="shared" ref="AB103:AL103" si="36">AB102</f>
        <v>0</v>
      </c>
      <c r="AC103" s="410">
        <f t="shared" si="36"/>
        <v>0</v>
      </c>
      <c r="AD103" s="410">
        <f t="shared" si="36"/>
        <v>0</v>
      </c>
      <c r="AE103" s="410">
        <f t="shared" si="36"/>
        <v>0</v>
      </c>
      <c r="AF103" s="410">
        <f t="shared" si="36"/>
        <v>0</v>
      </c>
      <c r="AG103" s="410">
        <f t="shared" si="36"/>
        <v>0</v>
      </c>
      <c r="AH103" s="410">
        <f t="shared" si="36"/>
        <v>0</v>
      </c>
      <c r="AI103" s="410">
        <f t="shared" si="36"/>
        <v>0</v>
      </c>
      <c r="AJ103" s="410">
        <f t="shared" si="36"/>
        <v>0</v>
      </c>
      <c r="AK103" s="410">
        <f t="shared" si="36"/>
        <v>0</v>
      </c>
      <c r="AL103" s="410">
        <f t="shared" si="36"/>
        <v>0</v>
      </c>
      <c r="AM103" s="306"/>
    </row>
    <row r="104" spans="1:39" s="309" customFormat="1" ht="15" outlineLevel="1">
      <c r="A104" s="507"/>
      <c r="B104" s="321"/>
      <c r="C104" s="291"/>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817"/>
      <c r="Z104" s="819"/>
      <c r="AA104" s="819"/>
      <c r="AB104" s="421"/>
      <c r="AC104" s="421"/>
      <c r="AD104" s="421"/>
      <c r="AE104" s="421"/>
      <c r="AF104" s="421"/>
      <c r="AG104" s="421"/>
      <c r="AH104" s="421"/>
      <c r="AI104" s="421"/>
      <c r="AJ104" s="421"/>
      <c r="AK104" s="421"/>
      <c r="AL104" s="421"/>
      <c r="AM104" s="297"/>
    </row>
    <row r="105" spans="1:39" s="283" customFormat="1" ht="15" outlineLevel="1">
      <c r="A105" s="504">
        <v>27</v>
      </c>
      <c r="B105" s="320" t="s">
        <v>17</v>
      </c>
      <c r="C105" s="291" t="s">
        <v>25</v>
      </c>
      <c r="D105" s="295">
        <f>+'7.  Persistence Report'!AQ64</f>
        <v>5230.3824866511577</v>
      </c>
      <c r="E105" s="295">
        <f>+'7.  Persistence Report'!AR64</f>
        <v>5230.3824866511577</v>
      </c>
      <c r="F105" s="295">
        <f>+'7.  Persistence Report'!AS64</f>
        <v>5230.3824866511577</v>
      </c>
      <c r="G105" s="295">
        <f>+'7.  Persistence Report'!AT64</f>
        <v>5230.3824866511577</v>
      </c>
      <c r="H105" s="295">
        <f>+'7.  Persistence Report'!AU64</f>
        <v>5230.3824866511577</v>
      </c>
      <c r="I105" s="295">
        <f>+'7.  Persistence Report'!AV64</f>
        <v>5230.3824866511577</v>
      </c>
      <c r="J105" s="295">
        <f>+'7.  Persistence Report'!AW64</f>
        <v>5230.3824866511577</v>
      </c>
      <c r="K105" s="295">
        <f>+'7.  Persistence Report'!AX64</f>
        <v>5230.3824866511577</v>
      </c>
      <c r="L105" s="295">
        <f>+'7.  Persistence Report'!AY64</f>
        <v>5230.3824866511577</v>
      </c>
      <c r="M105" s="295">
        <f>+'7.  Persistence Report'!AZ64</f>
        <v>5230.3824866511577</v>
      </c>
      <c r="N105" s="295">
        <v>12</v>
      </c>
      <c r="O105" s="295">
        <f>+'7.  Persistence Report'!L64</f>
        <v>1.0183766523853501</v>
      </c>
      <c r="P105" s="295">
        <f>+'7.  Persistence Report'!M64</f>
        <v>1.0183766523853501</v>
      </c>
      <c r="Q105" s="295">
        <f>+'7.  Persistence Report'!N64</f>
        <v>1.0183766523853501</v>
      </c>
      <c r="R105" s="295">
        <f>+'7.  Persistence Report'!O64</f>
        <v>1.0183766523853501</v>
      </c>
      <c r="S105" s="295">
        <f>+'7.  Persistence Report'!P64</f>
        <v>1.0183766523853501</v>
      </c>
      <c r="T105" s="295">
        <f>+'7.  Persistence Report'!Q64</f>
        <v>1.0183766523853501</v>
      </c>
      <c r="U105" s="295">
        <f>+'7.  Persistence Report'!R64</f>
        <v>1.0183766523853501</v>
      </c>
      <c r="V105" s="295">
        <f>+'7.  Persistence Report'!S64</f>
        <v>1.0183766523853501</v>
      </c>
      <c r="W105" s="295">
        <f>+'7.  Persistence Report'!T64</f>
        <v>1.0183766523853501</v>
      </c>
      <c r="X105" s="295">
        <f>+'7.  Persistence Report'!U64</f>
        <v>1.0183766523853501</v>
      </c>
      <c r="Y105" s="772"/>
      <c r="Z105" s="772">
        <v>1</v>
      </c>
      <c r="AA105" s="772"/>
      <c r="AB105" s="409"/>
      <c r="AC105" s="409"/>
      <c r="AD105" s="409"/>
      <c r="AE105" s="414"/>
      <c r="AF105" s="414"/>
      <c r="AG105" s="414"/>
      <c r="AH105" s="414"/>
      <c r="AI105" s="414"/>
      <c r="AJ105" s="414"/>
      <c r="AK105" s="414"/>
      <c r="AL105" s="414"/>
      <c r="AM105" s="296">
        <f>SUM(Y105:AL105)</f>
        <v>1</v>
      </c>
    </row>
    <row r="106" spans="1:39" s="283" customFormat="1" ht="15" outlineLevel="1">
      <c r="A106" s="504"/>
      <c r="B106" s="315" t="s">
        <v>214</v>
      </c>
      <c r="C106" s="291" t="s">
        <v>163</v>
      </c>
      <c r="D106" s="295">
        <f>+'7.  Persistence Report'!AQ68</f>
        <v>7794.1175133488414</v>
      </c>
      <c r="E106" s="295">
        <f>+'7.  Persistence Report'!AR68</f>
        <v>7794.1175133488414</v>
      </c>
      <c r="F106" s="295">
        <f>+'7.  Persistence Report'!AS68</f>
        <v>7794.1175133488414</v>
      </c>
      <c r="G106" s="295">
        <f>+'7.  Persistence Report'!AT68</f>
        <v>7794.1175133488414</v>
      </c>
      <c r="H106" s="295">
        <f>+'7.  Persistence Report'!AU68</f>
        <v>7794.1175133488396</v>
      </c>
      <c r="I106" s="295">
        <f>+'7.  Persistence Report'!AV68</f>
        <v>7794.1175133488396</v>
      </c>
      <c r="J106" s="295">
        <f>+'7.  Persistence Report'!AW68</f>
        <v>7794.1175133488396</v>
      </c>
      <c r="K106" s="295">
        <f>+'7.  Persistence Report'!AX68</f>
        <v>7794.1175133488396</v>
      </c>
      <c r="L106" s="295">
        <f>+'7.  Persistence Report'!AY68</f>
        <v>7794.1175133488396</v>
      </c>
      <c r="M106" s="295">
        <f>+'7.  Persistence Report'!AZ68</f>
        <v>7794.1175133488396</v>
      </c>
      <c r="N106" s="295">
        <f>N105</f>
        <v>12</v>
      </c>
      <c r="O106" s="295">
        <f>+'7.  Persistence Report'!L68</f>
        <v>8.9816233476146508</v>
      </c>
      <c r="P106" s="295">
        <f>+'7.  Persistence Report'!M68</f>
        <v>8.9816233476146508</v>
      </c>
      <c r="Q106" s="295">
        <f>+'7.  Persistence Report'!N68</f>
        <v>8.9816233476146508</v>
      </c>
      <c r="R106" s="295">
        <f>+'7.  Persistence Report'!O68</f>
        <v>8.9816233476146508</v>
      </c>
      <c r="S106" s="295">
        <f>+'7.  Persistence Report'!P68</f>
        <v>8.9816233476146508</v>
      </c>
      <c r="T106" s="295">
        <f>+'7.  Persistence Report'!Q68</f>
        <v>8.9816233476146508</v>
      </c>
      <c r="U106" s="295">
        <f>+'7.  Persistence Report'!R68</f>
        <v>8.9816233476146508</v>
      </c>
      <c r="V106" s="295">
        <f>+'7.  Persistence Report'!S68</f>
        <v>8.9816233476146508</v>
      </c>
      <c r="W106" s="295">
        <f>+'7.  Persistence Report'!T68</f>
        <v>8.9816233476146508</v>
      </c>
      <c r="X106" s="295">
        <f>+'7.  Persistence Report'!U68</f>
        <v>8.9816233476146508</v>
      </c>
      <c r="Y106" s="776">
        <f>Y105</f>
        <v>0</v>
      </c>
      <c r="Z106" s="410">
        <f>Z105</f>
        <v>1</v>
      </c>
      <c r="AA106" s="410">
        <f>AA105</f>
        <v>0</v>
      </c>
      <c r="AB106" s="410">
        <f>AB105</f>
        <v>0</v>
      </c>
      <c r="AC106" s="410">
        <f t="shared" ref="AC106:AL106" si="37">AC105</f>
        <v>0</v>
      </c>
      <c r="AD106" s="410">
        <f t="shared" si="37"/>
        <v>0</v>
      </c>
      <c r="AE106" s="410">
        <f t="shared" si="37"/>
        <v>0</v>
      </c>
      <c r="AF106" s="410">
        <f t="shared" si="37"/>
        <v>0</v>
      </c>
      <c r="AG106" s="410">
        <f t="shared" si="37"/>
        <v>0</v>
      </c>
      <c r="AH106" s="410">
        <f t="shared" si="37"/>
        <v>0</v>
      </c>
      <c r="AI106" s="410">
        <f t="shared" si="37"/>
        <v>0</v>
      </c>
      <c r="AJ106" s="410">
        <f t="shared" si="37"/>
        <v>0</v>
      </c>
      <c r="AK106" s="410">
        <f t="shared" si="37"/>
        <v>0</v>
      </c>
      <c r="AL106" s="410">
        <f t="shared" si="37"/>
        <v>0</v>
      </c>
      <c r="AM106" s="306"/>
    </row>
    <row r="107" spans="1:39" s="309" customFormat="1" ht="15.75" outlineLevel="1">
      <c r="A107" s="507"/>
      <c r="B107" s="322"/>
      <c r="C107" s="300"/>
      <c r="D107" s="758"/>
      <c r="E107" s="758"/>
      <c r="F107" s="758"/>
      <c r="G107" s="758"/>
      <c r="H107" s="758"/>
      <c r="I107" s="758"/>
      <c r="J107" s="758"/>
      <c r="K107" s="758"/>
      <c r="L107" s="758"/>
      <c r="M107" s="758"/>
      <c r="N107" s="761"/>
      <c r="O107" s="758"/>
      <c r="P107" s="758"/>
      <c r="Q107" s="758"/>
      <c r="R107" s="758"/>
      <c r="S107" s="758"/>
      <c r="T107" s="758"/>
      <c r="U107" s="758"/>
      <c r="V107" s="758"/>
      <c r="W107" s="758"/>
      <c r="X107" s="758"/>
      <c r="Y107" s="777"/>
      <c r="Z107" s="411"/>
      <c r="AA107" s="411"/>
      <c r="AB107" s="411"/>
      <c r="AC107" s="411"/>
      <c r="AD107" s="411"/>
      <c r="AE107" s="411"/>
      <c r="AF107" s="411"/>
      <c r="AG107" s="411"/>
      <c r="AH107" s="411"/>
      <c r="AI107" s="411"/>
      <c r="AJ107" s="411"/>
      <c r="AK107" s="411"/>
      <c r="AL107" s="411"/>
      <c r="AM107" s="306"/>
    </row>
    <row r="108" spans="1:39" s="283" customFormat="1" ht="15" outlineLevel="1">
      <c r="A108" s="504">
        <v>28</v>
      </c>
      <c r="B108" s="320"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772"/>
      <c r="Z108" s="409"/>
      <c r="AA108" s="409"/>
      <c r="AB108" s="409"/>
      <c r="AC108" s="409"/>
      <c r="AD108" s="409"/>
      <c r="AE108" s="414"/>
      <c r="AF108" s="414"/>
      <c r="AG108" s="414"/>
      <c r="AH108" s="414"/>
      <c r="AI108" s="414"/>
      <c r="AJ108" s="414"/>
      <c r="AK108" s="414"/>
      <c r="AL108" s="414"/>
      <c r="AM108" s="296">
        <f>SUM(Y108:AL108)</f>
        <v>0</v>
      </c>
    </row>
    <row r="109" spans="1:39" s="283" customFormat="1" ht="15" outlineLevel="1">
      <c r="A109" s="504"/>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776">
        <f>Y108</f>
        <v>0</v>
      </c>
      <c r="Z109" s="410">
        <f>Z108</f>
        <v>0</v>
      </c>
      <c r="AA109" s="410">
        <f t="shared" ref="AA109:AK109" si="38">AA108</f>
        <v>0</v>
      </c>
      <c r="AB109" s="410">
        <f t="shared" si="38"/>
        <v>0</v>
      </c>
      <c r="AC109" s="410">
        <f t="shared" si="38"/>
        <v>0</v>
      </c>
      <c r="AD109" s="410">
        <f t="shared" si="38"/>
        <v>0</v>
      </c>
      <c r="AE109" s="410">
        <f t="shared" si="38"/>
        <v>0</v>
      </c>
      <c r="AF109" s="410">
        <f t="shared" si="38"/>
        <v>0</v>
      </c>
      <c r="AG109" s="410">
        <f t="shared" si="38"/>
        <v>0</v>
      </c>
      <c r="AH109" s="410">
        <f t="shared" si="38"/>
        <v>0</v>
      </c>
      <c r="AI109" s="410">
        <f t="shared" si="38"/>
        <v>0</v>
      </c>
      <c r="AJ109" s="410">
        <f t="shared" si="38"/>
        <v>0</v>
      </c>
      <c r="AK109" s="410">
        <f t="shared" si="38"/>
        <v>0</v>
      </c>
      <c r="AL109" s="410">
        <f>AL108</f>
        <v>0</v>
      </c>
      <c r="AM109" s="297"/>
    </row>
    <row r="110" spans="1:39" s="309" customFormat="1" ht="15" outlineLevel="1">
      <c r="A110" s="507"/>
      <c r="B110" s="321"/>
      <c r="C110" s="291"/>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77"/>
      <c r="Z110" s="411"/>
      <c r="AA110" s="411"/>
      <c r="AB110" s="411"/>
      <c r="AC110" s="411"/>
      <c r="AD110" s="411"/>
      <c r="AE110" s="411"/>
      <c r="AF110" s="411"/>
      <c r="AG110" s="411"/>
      <c r="AH110" s="411"/>
      <c r="AI110" s="411"/>
      <c r="AJ110" s="411"/>
      <c r="AK110" s="411"/>
      <c r="AL110" s="411"/>
      <c r="AM110" s="306"/>
    </row>
    <row r="111" spans="1:39" s="283" customFormat="1" ht="15" outlineLevel="1">
      <c r="A111" s="504">
        <v>29</v>
      </c>
      <c r="B111" s="323"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772"/>
      <c r="Z111" s="409"/>
      <c r="AA111" s="409"/>
      <c r="AB111" s="409"/>
      <c r="AC111" s="409"/>
      <c r="AD111" s="409"/>
      <c r="AE111" s="414"/>
      <c r="AF111" s="414"/>
      <c r="AG111" s="414"/>
      <c r="AH111" s="414"/>
      <c r="AI111" s="414"/>
      <c r="AJ111" s="414"/>
      <c r="AK111" s="414"/>
      <c r="AL111" s="414"/>
      <c r="AM111" s="296">
        <f>SUM(Y111:AL111)</f>
        <v>0</v>
      </c>
    </row>
    <row r="112" spans="1:39" s="283" customFormat="1" ht="15" outlineLevel="1">
      <c r="A112" s="504"/>
      <c r="B112" s="323"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776">
        <f>Y111</f>
        <v>0</v>
      </c>
      <c r="Z112" s="410">
        <f t="shared" ref="Z112:AK112" si="39">Z111</f>
        <v>0</v>
      </c>
      <c r="AA112" s="410">
        <f t="shared" si="39"/>
        <v>0</v>
      </c>
      <c r="AB112" s="410">
        <f t="shared" si="39"/>
        <v>0</v>
      </c>
      <c r="AC112" s="410">
        <f t="shared" si="39"/>
        <v>0</v>
      </c>
      <c r="AD112" s="410">
        <f t="shared" si="39"/>
        <v>0</v>
      </c>
      <c r="AE112" s="410">
        <f t="shared" si="39"/>
        <v>0</v>
      </c>
      <c r="AF112" s="410">
        <f t="shared" si="39"/>
        <v>0</v>
      </c>
      <c r="AG112" s="410">
        <f t="shared" si="39"/>
        <v>0</v>
      </c>
      <c r="AH112" s="410">
        <f t="shared" si="39"/>
        <v>0</v>
      </c>
      <c r="AI112" s="410">
        <f t="shared" si="39"/>
        <v>0</v>
      </c>
      <c r="AJ112" s="410">
        <f t="shared" si="39"/>
        <v>0</v>
      </c>
      <c r="AK112" s="410">
        <f t="shared" si="39"/>
        <v>0</v>
      </c>
      <c r="AL112" s="410">
        <f>AL111</f>
        <v>0</v>
      </c>
      <c r="AM112" s="500"/>
    </row>
    <row r="113" spans="1:39" s="283" customFormat="1" ht="15" outlineLevel="1">
      <c r="A113" s="504"/>
      <c r="B113" s="323"/>
      <c r="C113" s="291"/>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758"/>
      <c r="Z113" s="411"/>
      <c r="AA113" s="411"/>
      <c r="AB113" s="411"/>
      <c r="AC113" s="411"/>
      <c r="AD113" s="411"/>
      <c r="AE113" s="415"/>
      <c r="AF113" s="415"/>
      <c r="AG113" s="415"/>
      <c r="AH113" s="415"/>
      <c r="AI113" s="415"/>
      <c r="AJ113" s="415"/>
      <c r="AK113" s="415"/>
      <c r="AL113" s="415"/>
      <c r="AM113" s="313"/>
    </row>
    <row r="114" spans="1:39" s="283" customFormat="1" ht="15" outlineLevel="1">
      <c r="A114" s="504">
        <v>30</v>
      </c>
      <c r="B114" s="323"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772"/>
      <c r="Z114" s="409"/>
      <c r="AA114" s="409"/>
      <c r="AB114" s="409"/>
      <c r="AC114" s="409"/>
      <c r="AD114" s="409"/>
      <c r="AE114" s="414"/>
      <c r="AF114" s="414"/>
      <c r="AG114" s="414"/>
      <c r="AH114" s="414"/>
      <c r="AI114" s="414"/>
      <c r="AJ114" s="414"/>
      <c r="AK114" s="414"/>
      <c r="AL114" s="414"/>
      <c r="AM114" s="296">
        <f>SUM(Y114:AL114)</f>
        <v>0</v>
      </c>
    </row>
    <row r="115" spans="1:39" s="283" customFormat="1" ht="15" outlineLevel="1">
      <c r="A115" s="504"/>
      <c r="B115" s="323"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776">
        <f>Y114</f>
        <v>0</v>
      </c>
      <c r="Z115" s="410">
        <f t="shared" ref="Z115:AL115" si="40">Z114</f>
        <v>0</v>
      </c>
      <c r="AA115" s="410">
        <f t="shared" si="40"/>
        <v>0</v>
      </c>
      <c r="AB115" s="410">
        <f t="shared" si="40"/>
        <v>0</v>
      </c>
      <c r="AC115" s="410">
        <f t="shared" si="40"/>
        <v>0</v>
      </c>
      <c r="AD115" s="410">
        <f t="shared" si="40"/>
        <v>0</v>
      </c>
      <c r="AE115" s="410">
        <f t="shared" si="40"/>
        <v>0</v>
      </c>
      <c r="AF115" s="410">
        <f t="shared" si="40"/>
        <v>0</v>
      </c>
      <c r="AG115" s="410">
        <f t="shared" si="40"/>
        <v>0</v>
      </c>
      <c r="AH115" s="410">
        <f t="shared" si="40"/>
        <v>0</v>
      </c>
      <c r="AI115" s="410">
        <f t="shared" si="40"/>
        <v>0</v>
      </c>
      <c r="AJ115" s="410">
        <f t="shared" si="40"/>
        <v>0</v>
      </c>
      <c r="AK115" s="410">
        <f t="shared" si="40"/>
        <v>0</v>
      </c>
      <c r="AL115" s="410">
        <f t="shared" si="40"/>
        <v>0</v>
      </c>
      <c r="AM115" s="500"/>
    </row>
    <row r="116" spans="1:39" s="283" customFormat="1" ht="15" outlineLevel="1">
      <c r="A116" s="504"/>
      <c r="B116" s="323"/>
      <c r="C116" s="291"/>
      <c r="D116" s="758"/>
      <c r="E116" s="758"/>
      <c r="F116" s="758"/>
      <c r="G116" s="758"/>
      <c r="H116" s="758"/>
      <c r="I116" s="758"/>
      <c r="J116" s="758"/>
      <c r="K116" s="758"/>
      <c r="L116" s="758"/>
      <c r="M116" s="758"/>
      <c r="N116" s="758"/>
      <c r="O116" s="758"/>
      <c r="P116" s="758"/>
      <c r="Q116" s="758"/>
      <c r="R116" s="758"/>
      <c r="S116" s="758"/>
      <c r="T116" s="758"/>
      <c r="U116" s="758"/>
      <c r="V116" s="758"/>
      <c r="W116" s="758"/>
      <c r="X116" s="758"/>
      <c r="Y116" s="758"/>
      <c r="Z116" s="411"/>
      <c r="AA116" s="411"/>
      <c r="AB116" s="411"/>
      <c r="AC116" s="411"/>
      <c r="AD116" s="411"/>
      <c r="AE116" s="415"/>
      <c r="AF116" s="415"/>
      <c r="AG116" s="415"/>
      <c r="AH116" s="415"/>
      <c r="AI116" s="415"/>
      <c r="AJ116" s="415"/>
      <c r="AK116" s="415"/>
      <c r="AL116" s="415"/>
      <c r="AM116" s="313"/>
    </row>
    <row r="117" spans="1:39" s="283" customFormat="1" ht="15.75" outlineLevel="1">
      <c r="A117" s="504"/>
      <c r="B117" s="288" t="s">
        <v>490</v>
      </c>
      <c r="C117" s="291"/>
      <c r="D117" s="758"/>
      <c r="E117" s="758"/>
      <c r="F117" s="758"/>
      <c r="G117" s="758"/>
      <c r="H117" s="758"/>
      <c r="I117" s="758"/>
      <c r="J117" s="758"/>
      <c r="K117" s="758"/>
      <c r="L117" s="758"/>
      <c r="M117" s="758"/>
      <c r="N117" s="758"/>
      <c r="O117" s="758"/>
      <c r="P117" s="758"/>
      <c r="Q117" s="758"/>
      <c r="R117" s="758"/>
      <c r="S117" s="758"/>
      <c r="T117" s="758"/>
      <c r="U117" s="758"/>
      <c r="V117" s="758"/>
      <c r="W117" s="758"/>
      <c r="X117" s="758"/>
      <c r="Y117" s="758"/>
      <c r="Z117" s="411"/>
      <c r="AA117" s="411"/>
      <c r="AB117" s="411"/>
      <c r="AC117" s="411"/>
      <c r="AD117" s="411"/>
      <c r="AE117" s="415"/>
      <c r="AF117" s="415"/>
      <c r="AG117" s="415"/>
      <c r="AH117" s="415"/>
      <c r="AI117" s="415"/>
      <c r="AJ117" s="415"/>
      <c r="AK117" s="415"/>
      <c r="AL117" s="415"/>
      <c r="AM117" s="313"/>
    </row>
    <row r="118" spans="1:39" s="283" customFormat="1" ht="15" outlineLevel="1">
      <c r="A118" s="504">
        <v>31</v>
      </c>
      <c r="B118" s="323"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772"/>
      <c r="Z118" s="409"/>
      <c r="AA118" s="409"/>
      <c r="AB118" s="409"/>
      <c r="AC118" s="409"/>
      <c r="AD118" s="409"/>
      <c r="AE118" s="414"/>
      <c r="AF118" s="414"/>
      <c r="AG118" s="414"/>
      <c r="AH118" s="414"/>
      <c r="AI118" s="414"/>
      <c r="AJ118" s="414"/>
      <c r="AK118" s="414"/>
      <c r="AL118" s="414"/>
      <c r="AM118" s="296">
        <f>SUM(Y118:AL118)</f>
        <v>0</v>
      </c>
    </row>
    <row r="119" spans="1:39" s="283" customFormat="1" ht="15" outlineLevel="1">
      <c r="A119" s="504"/>
      <c r="B119" s="323"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776">
        <f>Y118</f>
        <v>0</v>
      </c>
      <c r="Z119" s="410">
        <f t="shared" ref="Z119:AL119" si="41">Z118</f>
        <v>0</v>
      </c>
      <c r="AA119" s="410">
        <f t="shared" si="41"/>
        <v>0</v>
      </c>
      <c r="AB119" s="410">
        <f t="shared" si="41"/>
        <v>0</v>
      </c>
      <c r="AC119" s="410">
        <f t="shared" si="41"/>
        <v>0</v>
      </c>
      <c r="AD119" s="410">
        <f t="shared" si="41"/>
        <v>0</v>
      </c>
      <c r="AE119" s="410">
        <f t="shared" si="41"/>
        <v>0</v>
      </c>
      <c r="AF119" s="410">
        <f t="shared" si="41"/>
        <v>0</v>
      </c>
      <c r="AG119" s="410">
        <f t="shared" si="41"/>
        <v>0</v>
      </c>
      <c r="AH119" s="410">
        <f t="shared" si="41"/>
        <v>0</v>
      </c>
      <c r="AI119" s="410">
        <f t="shared" si="41"/>
        <v>0</v>
      </c>
      <c r="AJ119" s="410">
        <f t="shared" si="41"/>
        <v>0</v>
      </c>
      <c r="AK119" s="410">
        <f t="shared" si="41"/>
        <v>0</v>
      </c>
      <c r="AL119" s="410">
        <f t="shared" si="41"/>
        <v>0</v>
      </c>
      <c r="AM119" s="500"/>
    </row>
    <row r="120" spans="1:39" s="283" customFormat="1" ht="15" outlineLevel="1">
      <c r="A120" s="504"/>
      <c r="B120" s="323"/>
      <c r="C120" s="291"/>
      <c r="D120" s="758"/>
      <c r="E120" s="758"/>
      <c r="F120" s="758"/>
      <c r="G120" s="758"/>
      <c r="H120" s="758"/>
      <c r="I120" s="758"/>
      <c r="J120" s="758"/>
      <c r="K120" s="758"/>
      <c r="L120" s="758"/>
      <c r="M120" s="758"/>
      <c r="N120" s="758"/>
      <c r="O120" s="758"/>
      <c r="P120" s="758"/>
      <c r="Q120" s="758"/>
      <c r="R120" s="758"/>
      <c r="S120" s="758"/>
      <c r="T120" s="758"/>
      <c r="U120" s="758"/>
      <c r="V120" s="758"/>
      <c r="W120" s="758"/>
      <c r="X120" s="758"/>
      <c r="Y120" s="777"/>
      <c r="Z120" s="411"/>
      <c r="AA120" s="411"/>
      <c r="AB120" s="411"/>
      <c r="AC120" s="411"/>
      <c r="AD120" s="411"/>
      <c r="AE120" s="415"/>
      <c r="AF120" s="415"/>
      <c r="AG120" s="415"/>
      <c r="AH120" s="415"/>
      <c r="AI120" s="415"/>
      <c r="AJ120" s="415"/>
      <c r="AK120" s="415"/>
      <c r="AL120" s="415"/>
      <c r="AM120" s="313"/>
    </row>
    <row r="121" spans="1:39" s="283" customFormat="1" ht="15" outlineLevel="1">
      <c r="A121" s="504">
        <v>32</v>
      </c>
      <c r="B121" s="323"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772"/>
      <c r="Z121" s="409"/>
      <c r="AA121" s="409"/>
      <c r="AB121" s="409"/>
      <c r="AC121" s="409"/>
      <c r="AD121" s="409"/>
      <c r="AE121" s="414"/>
      <c r="AF121" s="414"/>
      <c r="AG121" s="414"/>
      <c r="AH121" s="414"/>
      <c r="AI121" s="414"/>
      <c r="AJ121" s="414"/>
      <c r="AK121" s="414"/>
      <c r="AL121" s="414"/>
      <c r="AM121" s="296">
        <f>SUM(Y121:AL121)</f>
        <v>0</v>
      </c>
    </row>
    <row r="122" spans="1:39" s="283" customFormat="1" ht="15" outlineLevel="1">
      <c r="A122" s="504"/>
      <c r="B122" s="323"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776">
        <f>Y121</f>
        <v>0</v>
      </c>
      <c r="Z122" s="410">
        <f t="shared" ref="Z122:AL122" si="42">Z121</f>
        <v>0</v>
      </c>
      <c r="AA122" s="410">
        <f t="shared" si="42"/>
        <v>0</v>
      </c>
      <c r="AB122" s="410">
        <f t="shared" si="42"/>
        <v>0</v>
      </c>
      <c r="AC122" s="410">
        <f t="shared" si="42"/>
        <v>0</v>
      </c>
      <c r="AD122" s="410">
        <f t="shared" si="42"/>
        <v>0</v>
      </c>
      <c r="AE122" s="410">
        <f t="shared" si="42"/>
        <v>0</v>
      </c>
      <c r="AF122" s="410">
        <f t="shared" si="42"/>
        <v>0</v>
      </c>
      <c r="AG122" s="410">
        <f t="shared" si="42"/>
        <v>0</v>
      </c>
      <c r="AH122" s="410">
        <f t="shared" si="42"/>
        <v>0</v>
      </c>
      <c r="AI122" s="410">
        <f t="shared" si="42"/>
        <v>0</v>
      </c>
      <c r="AJ122" s="410">
        <f t="shared" si="42"/>
        <v>0</v>
      </c>
      <c r="AK122" s="410">
        <f t="shared" si="42"/>
        <v>0</v>
      </c>
      <c r="AL122" s="410">
        <f t="shared" si="42"/>
        <v>0</v>
      </c>
      <c r="AM122" s="500"/>
    </row>
    <row r="123" spans="1:39" s="283" customFormat="1" ht="15" outlineLevel="1">
      <c r="A123" s="504"/>
      <c r="B123" s="323"/>
      <c r="C123" s="291"/>
      <c r="D123" s="758"/>
      <c r="E123" s="758"/>
      <c r="F123" s="758"/>
      <c r="G123" s="758"/>
      <c r="H123" s="758"/>
      <c r="I123" s="758"/>
      <c r="J123" s="758"/>
      <c r="K123" s="758"/>
      <c r="L123" s="758"/>
      <c r="M123" s="758"/>
      <c r="N123" s="758"/>
      <c r="O123" s="758"/>
      <c r="P123" s="758"/>
      <c r="Q123" s="758"/>
      <c r="R123" s="758"/>
      <c r="S123" s="758"/>
      <c r="T123" s="758"/>
      <c r="U123" s="758"/>
      <c r="V123" s="758"/>
      <c r="W123" s="758"/>
      <c r="X123" s="758"/>
      <c r="Y123" s="777"/>
      <c r="Z123" s="411"/>
      <c r="AA123" s="411"/>
      <c r="AB123" s="411"/>
      <c r="AC123" s="411"/>
      <c r="AD123" s="411"/>
      <c r="AE123" s="415"/>
      <c r="AF123" s="415"/>
      <c r="AG123" s="415"/>
      <c r="AH123" s="415"/>
      <c r="AI123" s="415"/>
      <c r="AJ123" s="415"/>
      <c r="AK123" s="415"/>
      <c r="AL123" s="415"/>
      <c r="AM123" s="313"/>
    </row>
    <row r="124" spans="1:39" s="283" customFormat="1" ht="15" outlineLevel="1">
      <c r="A124" s="504">
        <v>33</v>
      </c>
      <c r="B124" s="323"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2"/>
      <c r="Z124" s="409"/>
      <c r="AA124" s="409"/>
      <c r="AB124" s="409"/>
      <c r="AC124" s="409"/>
      <c r="AD124" s="409"/>
      <c r="AE124" s="414"/>
      <c r="AF124" s="414"/>
      <c r="AG124" s="414"/>
      <c r="AH124" s="414"/>
      <c r="AI124" s="414"/>
      <c r="AJ124" s="414"/>
      <c r="AK124" s="414"/>
      <c r="AL124" s="414"/>
      <c r="AM124" s="296">
        <f>SUM(Y124:AL124)</f>
        <v>0</v>
      </c>
    </row>
    <row r="125" spans="1:39" s="283" customFormat="1" ht="15" outlineLevel="1">
      <c r="A125" s="504"/>
      <c r="B125" s="323"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76">
        <f>Y124</f>
        <v>0</v>
      </c>
      <c r="Z125" s="410">
        <f t="shared" ref="Z125:AL125" si="43">Z124</f>
        <v>0</v>
      </c>
      <c r="AA125" s="410">
        <f t="shared" si="43"/>
        <v>0</v>
      </c>
      <c r="AB125" s="410">
        <f t="shared" si="43"/>
        <v>0</v>
      </c>
      <c r="AC125" s="410">
        <f t="shared" si="43"/>
        <v>0</v>
      </c>
      <c r="AD125" s="410">
        <f t="shared" si="43"/>
        <v>0</v>
      </c>
      <c r="AE125" s="410">
        <f t="shared" si="43"/>
        <v>0</v>
      </c>
      <c r="AF125" s="410">
        <f t="shared" si="43"/>
        <v>0</v>
      </c>
      <c r="AG125" s="410">
        <f t="shared" si="43"/>
        <v>0</v>
      </c>
      <c r="AH125" s="410">
        <f t="shared" si="43"/>
        <v>0</v>
      </c>
      <c r="AI125" s="410">
        <f t="shared" si="43"/>
        <v>0</v>
      </c>
      <c r="AJ125" s="410">
        <f t="shared" si="43"/>
        <v>0</v>
      </c>
      <c r="AK125" s="410">
        <f t="shared" si="43"/>
        <v>0</v>
      </c>
      <c r="AL125" s="410">
        <f t="shared" si="43"/>
        <v>0</v>
      </c>
      <c r="AM125" s="500"/>
    </row>
    <row r="126" spans="1:39" s="283" customFormat="1" ht="15" outlineLevel="1">
      <c r="A126" s="504"/>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777"/>
      <c r="Z126" s="411"/>
      <c r="AA126" s="411"/>
      <c r="AB126" s="411"/>
      <c r="AC126" s="411"/>
      <c r="AD126" s="411"/>
      <c r="AE126" s="411"/>
      <c r="AF126" s="411"/>
      <c r="AG126" s="411"/>
      <c r="AH126" s="411"/>
      <c r="AI126" s="411"/>
      <c r="AJ126" s="411"/>
      <c r="AK126" s="411"/>
      <c r="AL126" s="411"/>
      <c r="AM126" s="306"/>
    </row>
    <row r="127" spans="1:39" s="283" customFormat="1" ht="15.75">
      <c r="A127" s="504"/>
      <c r="B127" s="326" t="s">
        <v>237</v>
      </c>
      <c r="C127" s="327"/>
      <c r="D127" s="327">
        <f>SUM(D22:D125)</f>
        <v>13238663.296255277</v>
      </c>
      <c r="E127" s="327"/>
      <c r="F127" s="327"/>
      <c r="G127" s="327"/>
      <c r="H127" s="327"/>
      <c r="I127" s="327"/>
      <c r="J127" s="327"/>
      <c r="K127" s="327"/>
      <c r="L127" s="327"/>
      <c r="M127" s="327"/>
      <c r="N127" s="327"/>
      <c r="O127" s="327">
        <f>SUM(O22:O125)</f>
        <v>4614.5766523390603</v>
      </c>
      <c r="P127" s="327"/>
      <c r="Q127" s="327"/>
      <c r="R127" s="327"/>
      <c r="S127" s="327"/>
      <c r="T127" s="327"/>
      <c r="U127" s="327"/>
      <c r="V127" s="327"/>
      <c r="W127" s="327"/>
      <c r="X127" s="327"/>
      <c r="Y127" s="328">
        <f>IF(Y21="kWh",SUMPRODUCT(D22:D125,Y22:Y125))</f>
        <v>2081533.0147329043</v>
      </c>
      <c r="Z127" s="328">
        <f>IF(Z21="kWh",SUMPRODUCT(D22:D125,Z22:Z125))</f>
        <v>2160971.7297273995</v>
      </c>
      <c r="AA127" s="328">
        <f>IF(AA21="kW",SUMPRODUCT(N22:N125,O22:O125,AA22:AA125),SUMPRODUCT(D22:D125,AA22:AA125))</f>
        <v>16898.769139455067</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5.75">
      <c r="A128" s="504"/>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3" customFormat="1" ht="15">
      <c r="A129" s="506"/>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5">
      <c r="A130" s="503"/>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1.6799999999999999E-2</v>
      </c>
      <c r="Z130" s="340">
        <f>HLOOKUP(Z$20,'3.  Distribution Rates'!$C$122:$P$133,3,FALSE)</f>
        <v>1.21E-2</v>
      </c>
      <c r="AA130" s="340">
        <f>HLOOKUP(AA$20,'3.  Distribution Rates'!$C$122:$P$133,3,FALSE)</f>
        <v>3.9592000000000001</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3" customFormat="1" ht="15.75">
      <c r="A131" s="506"/>
      <c r="B131" s="298" t="s">
        <v>253</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ref="Y131:AD131" si="44">Y127*Y130</f>
        <v>34969.754647512789</v>
      </c>
      <c r="Z131" s="345">
        <f t="shared" si="44"/>
        <v>26147.757929701533</v>
      </c>
      <c r="AA131" s="346">
        <f t="shared" si="44"/>
        <v>66905.606776930508</v>
      </c>
      <c r="AB131" s="346">
        <f t="shared" si="44"/>
        <v>0</v>
      </c>
      <c r="AC131" s="346">
        <f t="shared" si="44"/>
        <v>0</v>
      </c>
      <c r="AD131" s="346">
        <f t="shared" si="44"/>
        <v>0</v>
      </c>
      <c r="AE131" s="346">
        <f>AE127*AE130</f>
        <v>0</v>
      </c>
      <c r="AF131" s="346">
        <f t="shared" ref="AF131:AL131" si="45">AF127*AF130</f>
        <v>0</v>
      </c>
      <c r="AG131" s="346">
        <f t="shared" si="45"/>
        <v>0</v>
      </c>
      <c r="AH131" s="346">
        <f t="shared" si="45"/>
        <v>0</v>
      </c>
      <c r="AI131" s="346">
        <f t="shared" si="45"/>
        <v>0</v>
      </c>
      <c r="AJ131" s="346">
        <f t="shared" si="45"/>
        <v>0</v>
      </c>
      <c r="AK131" s="346">
        <f t="shared" si="45"/>
        <v>0</v>
      </c>
      <c r="AL131" s="346">
        <f t="shared" si="45"/>
        <v>0</v>
      </c>
      <c r="AM131" s="406">
        <f>SUM(Y131:AL131)</f>
        <v>128023.11935414483</v>
      </c>
    </row>
    <row r="132" spans="1:40" s="303" customFormat="1" ht="15.75">
      <c r="A132" s="506"/>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ref="Y132:AD132" si="46">Y128*Y130</f>
        <v>0</v>
      </c>
      <c r="Z132" s="346">
        <f t="shared" si="46"/>
        <v>0</v>
      </c>
      <c r="AA132" s="346">
        <f t="shared" si="46"/>
        <v>0</v>
      </c>
      <c r="AB132" s="346">
        <f t="shared" si="46"/>
        <v>0</v>
      </c>
      <c r="AC132" s="346">
        <f t="shared" si="46"/>
        <v>0</v>
      </c>
      <c r="AD132" s="346">
        <f t="shared" si="46"/>
        <v>0</v>
      </c>
      <c r="AE132" s="346">
        <f>AE128*AE130</f>
        <v>0</v>
      </c>
      <c r="AF132" s="346">
        <f t="shared" ref="AF132:AL132" si="47">AF128*AF130</f>
        <v>0</v>
      </c>
      <c r="AG132" s="346">
        <f t="shared" si="47"/>
        <v>0</v>
      </c>
      <c r="AH132" s="346">
        <f t="shared" si="47"/>
        <v>0</v>
      </c>
      <c r="AI132" s="346">
        <f t="shared" si="47"/>
        <v>0</v>
      </c>
      <c r="AJ132" s="346">
        <f t="shared" si="47"/>
        <v>0</v>
      </c>
      <c r="AK132" s="346">
        <f t="shared" si="47"/>
        <v>0</v>
      </c>
      <c r="AL132" s="346">
        <f t="shared" si="47"/>
        <v>0</v>
      </c>
      <c r="AM132" s="406">
        <f>SUM(Y132:AL132)</f>
        <v>0</v>
      </c>
    </row>
    <row r="133" spans="1:40" s="349" customFormat="1" ht="17.25" customHeight="1">
      <c r="A133" s="508"/>
      <c r="B133" s="348" t="s">
        <v>256</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128023.11935414483</v>
      </c>
    </row>
    <row r="134" spans="1:40" s="353" customFormat="1" ht="19.5" customHeight="1">
      <c r="A134" s="503"/>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3" customFormat="1" ht="15">
      <c r="A135" s="504"/>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2081533.0147329043</v>
      </c>
      <c r="Z135" s="291">
        <f>SUMPRODUCT(E22:E125,Z22:Z125)</f>
        <v>2140911.0686710551</v>
      </c>
      <c r="AA135" s="291">
        <f>IF(AA21="kW",SUMPRODUCT(N22:N125,P22:P125,AA22:AA125),SUMPRODUCT(E22:E125,AA22:AA125))</f>
        <v>16898.769139455067</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40" s="283" customFormat="1" ht="15">
      <c r="A136" s="504"/>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2081533.0147329043</v>
      </c>
      <c r="Z136" s="291">
        <f>SUMPRODUCT(F22:F125,Z22:Z125)</f>
        <v>2130360.6471080938</v>
      </c>
      <c r="AA136" s="291">
        <f>IF(AA21="kW",SUMPRODUCT(N22:N125,Q22:Q125,AA22:AA125),SUMPRODUCT(F22:F125,AA22:AA125))</f>
        <v>16898.769139455067</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40" s="283" customFormat="1" ht="15">
      <c r="A137" s="504"/>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2076697.6694917381</v>
      </c>
      <c r="Z137" s="291">
        <f>SUMPRODUCT(G22:G125,Z22:Z125)</f>
        <v>1991312.6120116371</v>
      </c>
      <c r="AA137" s="291">
        <f>IF(AA21="kW",SUMPRODUCT(N22:N125,R22:R125,AA22:AA125),SUMPRODUCT(G22:G125,AA22:AA125))</f>
        <v>16764.719227596186</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40" s="283" customFormat="1" ht="15">
      <c r="A138" s="504"/>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1931411.317575892</v>
      </c>
      <c r="Z138" s="291">
        <f>SUMPRODUCT(H22:H125,Z22:Z125)</f>
        <v>1922109.5752723198</v>
      </c>
      <c r="AA138" s="291">
        <f>IF(AA21="kW",SUMPRODUCT(N22:N125,S22:S125,AA22:AA125),SUMPRODUCT(H22:H125,AA22:AA125))</f>
        <v>15814.221648558258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40" s="283" customFormat="1" ht="15">
      <c r="A139" s="504"/>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f>SUMPRODUCT(I22:I125,Y22:Y125)</f>
        <v>1669181.075543982</v>
      </c>
      <c r="Z139" s="291">
        <f>SUMPRODUCT(I22:I125,Z22:Z125)</f>
        <v>1852822.4653309947</v>
      </c>
      <c r="AA139" s="291">
        <f>IF(AA21="kW",SUMPRODUCT(N22:N125,T22:T125,AA22:AA125),SUMPRODUCT(I22:I125,AA22:AA125))</f>
        <v>15456.414501351201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6"/>
    </row>
    <row r="140" spans="1:40" s="283" customFormat="1" ht="15">
      <c r="A140" s="504"/>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f>SUMPRODUCT(J22:J125,Y22:Y125)</f>
        <v>1500434.2208811394</v>
      </c>
      <c r="Z140" s="291">
        <f>SUMPRODUCT(J22:J125,Z22:Z125)</f>
        <v>1505879.1021278782</v>
      </c>
      <c r="AA140" s="291">
        <f>IF(AA21="kW",SUMPRODUCT(N22:N125,U22:U125,AA22:AA125),SUMPRODUCT(J22:J125,AA22:AA125))</f>
        <v>14986.996519501317</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6"/>
    </row>
    <row r="141" spans="1:40" s="283" customFormat="1" ht="15">
      <c r="A141" s="504"/>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f>SUMPRODUCT(K22:K125,Y22:Y125)</f>
        <v>1498066.5366746441</v>
      </c>
      <c r="Z141" s="291">
        <f>SUMPRODUCT(K22:K125,Z22:Z125)</f>
        <v>1501246.1008279677</v>
      </c>
      <c r="AA141" s="291">
        <f>IF(AA21="kW",SUMPRODUCT(N22:N125,V22:V125,AA22:AA125),SUMPRODUCT(K22:K125,AA22:AA125))</f>
        <v>14986.996519501317</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6"/>
    </row>
    <row r="142" spans="1:40" s="283" customFormat="1" ht="15">
      <c r="A142" s="504"/>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f>SUMPRODUCT(L22:L125,Y22:Y125)</f>
        <v>1635712.4317559579</v>
      </c>
      <c r="Z142" s="291">
        <f>SUMPRODUCT(L22:L125,Z22:Z125)</f>
        <v>1449666.1240162794</v>
      </c>
      <c r="AA142" s="291">
        <f>IF(AA21="kW",SUMPRODUCT(N22:N125,W22:W125,AA22:AA125),SUMPRODUCT(L22:L125,AA22:AA125))</f>
        <v>14103.423533200395</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1207341.9044642358</v>
      </c>
      <c r="Z143" s="325">
        <f>SUMPRODUCT(M22:M125,Z22:Z125)</f>
        <v>1449666.1240162794</v>
      </c>
      <c r="AA143" s="325">
        <f>IF(AA21="kW",SUMPRODUCT(N22:N125,X22:X125,AA22:AA125),SUMPRODUCT(M22:M125,AA22:AA125))</f>
        <v>14103.423533200395</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80" t="s">
        <v>242</v>
      </c>
      <c r="C146" s="281"/>
      <c r="D146" s="585" t="s">
        <v>526</v>
      </c>
      <c r="F146" s="585"/>
      <c r="O146" s="281"/>
      <c r="Y146" s="270"/>
      <c r="Z146" s="267"/>
      <c r="AA146" s="267"/>
      <c r="AB146" s="267"/>
      <c r="AC146" s="267"/>
      <c r="AD146" s="267"/>
      <c r="AE146" s="267"/>
      <c r="AF146" s="267"/>
      <c r="AG146" s="267"/>
      <c r="AH146" s="267"/>
      <c r="AI146" s="267"/>
      <c r="AJ146" s="267"/>
      <c r="AK146" s="267"/>
      <c r="AL146" s="267"/>
      <c r="AM146" s="282"/>
    </row>
    <row r="147" spans="1:39" ht="34.5" customHeight="1">
      <c r="B147" s="1199" t="s">
        <v>211</v>
      </c>
      <c r="C147" s="1201" t="s">
        <v>33</v>
      </c>
      <c r="D147" s="284" t="s">
        <v>422</v>
      </c>
      <c r="E147" s="1203" t="s">
        <v>209</v>
      </c>
      <c r="F147" s="1204"/>
      <c r="G147" s="1204"/>
      <c r="H147" s="1204"/>
      <c r="I147" s="1204"/>
      <c r="J147" s="1204"/>
      <c r="K147" s="1204"/>
      <c r="L147" s="1204"/>
      <c r="M147" s="1205"/>
      <c r="N147" s="1206" t="s">
        <v>213</v>
      </c>
      <c r="O147" s="284" t="s">
        <v>423</v>
      </c>
      <c r="P147" s="1203" t="s">
        <v>212</v>
      </c>
      <c r="Q147" s="1204"/>
      <c r="R147" s="1204"/>
      <c r="S147" s="1204"/>
      <c r="T147" s="1204"/>
      <c r="U147" s="1204"/>
      <c r="V147" s="1204"/>
      <c r="W147" s="1204"/>
      <c r="X147" s="1205"/>
      <c r="Y147" s="1196" t="s">
        <v>243</v>
      </c>
      <c r="Z147" s="1197"/>
      <c r="AA147" s="1197"/>
      <c r="AB147" s="1197"/>
      <c r="AC147" s="1197"/>
      <c r="AD147" s="1197"/>
      <c r="AE147" s="1197"/>
      <c r="AF147" s="1197"/>
      <c r="AG147" s="1197"/>
      <c r="AH147" s="1197"/>
      <c r="AI147" s="1197"/>
      <c r="AJ147" s="1197"/>
      <c r="AK147" s="1197"/>
      <c r="AL147" s="1197"/>
      <c r="AM147" s="1198"/>
    </row>
    <row r="148" spans="1:39" ht="60.75" customHeight="1">
      <c r="B148" s="1200"/>
      <c r="C148" s="1202"/>
      <c r="D148" s="285">
        <v>2012</v>
      </c>
      <c r="E148" s="285">
        <v>2013</v>
      </c>
      <c r="F148" s="285">
        <v>2014</v>
      </c>
      <c r="G148" s="285">
        <v>2015</v>
      </c>
      <c r="H148" s="285">
        <v>2016</v>
      </c>
      <c r="I148" s="285">
        <v>2017</v>
      </c>
      <c r="J148" s="285">
        <v>2018</v>
      </c>
      <c r="K148" s="285">
        <v>2019</v>
      </c>
      <c r="L148" s="285">
        <v>2020</v>
      </c>
      <c r="M148" s="285">
        <v>2021</v>
      </c>
      <c r="N148" s="120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 50 kW</v>
      </c>
      <c r="AB148" s="285" t="str">
        <f>'1.  LRAMVA Summary'!G52</f>
        <v>Streetlighting kW</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5"/>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5" outlineLevel="1">
      <c r="A150" s="504">
        <v>1</v>
      </c>
      <c r="B150" s="294" t="s">
        <v>1</v>
      </c>
      <c r="C150" s="291" t="s">
        <v>25</v>
      </c>
      <c r="D150" s="295">
        <f>+'7.  Persistence Report'!AR84</f>
        <v>134959.7105646485</v>
      </c>
      <c r="E150" s="295">
        <f>+'7.  Persistence Report'!AS84</f>
        <v>134959.7105646485</v>
      </c>
      <c r="F150" s="295">
        <f>+'7.  Persistence Report'!AT84</f>
        <v>134959.7105646485</v>
      </c>
      <c r="G150" s="295">
        <f>+'7.  Persistence Report'!AU84</f>
        <v>134652.25539964854</v>
      </c>
      <c r="H150" s="295">
        <f>+'7.  Persistence Report'!AV84</f>
        <v>76502.380945524535</v>
      </c>
      <c r="I150" s="295">
        <f>+'7.  Persistence Report'!AW84</f>
        <v>0</v>
      </c>
      <c r="J150" s="295">
        <f>+'7.  Persistence Report'!AX84</f>
        <v>0</v>
      </c>
      <c r="K150" s="295">
        <f>+'7.  Persistence Report'!AY84</f>
        <v>0</v>
      </c>
      <c r="L150" s="295">
        <f>+'7.  Persistence Report'!AZ84</f>
        <v>0</v>
      </c>
      <c r="M150" s="295">
        <f>+'7.  Persistence Report'!BA84</f>
        <v>0</v>
      </c>
      <c r="N150" s="758"/>
      <c r="O150" s="295">
        <f>+'7.  Persistence Report'!M84</f>
        <v>19.675903914190929</v>
      </c>
      <c r="P150" s="295">
        <f>+'7.  Persistence Report'!N84</f>
        <v>19.675903914190929</v>
      </c>
      <c r="Q150" s="295">
        <f>+'7.  Persistence Report'!O84</f>
        <v>19.675903914190929</v>
      </c>
      <c r="R150" s="295">
        <f>+'7.  Persistence Report'!P84</f>
        <v>19.33209217782856</v>
      </c>
      <c r="S150" s="295">
        <f>+'7.  Persistence Report'!Q84</f>
        <v>10.058511882172752</v>
      </c>
      <c r="T150" s="295">
        <f>+'7.  Persistence Report'!R84</f>
        <v>0</v>
      </c>
      <c r="U150" s="295">
        <f>+'7.  Persistence Report'!S84</f>
        <v>0</v>
      </c>
      <c r="V150" s="295">
        <f>+'7.  Persistence Report'!T84</f>
        <v>0</v>
      </c>
      <c r="W150" s="295">
        <f>+'7.  Persistence Report'!U84</f>
        <v>0</v>
      </c>
      <c r="X150" s="295">
        <f>+'7.  Persistence Report'!V84</f>
        <v>0</v>
      </c>
      <c r="Y150" s="772">
        <v>1</v>
      </c>
      <c r="Z150" s="772"/>
      <c r="AA150" s="772"/>
      <c r="AB150" s="409"/>
      <c r="AC150" s="409"/>
      <c r="AD150" s="409"/>
      <c r="AE150" s="409"/>
      <c r="AF150" s="409"/>
      <c r="AG150" s="409"/>
      <c r="AH150" s="409"/>
      <c r="AI150" s="409"/>
      <c r="AJ150" s="409"/>
      <c r="AK150" s="409"/>
      <c r="AL150" s="409"/>
      <c r="AM150" s="296">
        <f>SUM(Y150:AL150)</f>
        <v>1</v>
      </c>
    </row>
    <row r="151" spans="1:39" ht="15" outlineLevel="1">
      <c r="B151" s="294" t="s">
        <v>244</v>
      </c>
      <c r="C151" s="291" t="s">
        <v>163</v>
      </c>
      <c r="D151" s="295"/>
      <c r="E151" s="295"/>
      <c r="F151" s="295"/>
      <c r="G151" s="295"/>
      <c r="H151" s="295"/>
      <c r="I151" s="295"/>
      <c r="J151" s="295"/>
      <c r="K151" s="295"/>
      <c r="L151" s="295"/>
      <c r="M151" s="295"/>
      <c r="N151" s="759"/>
      <c r="O151" s="295"/>
      <c r="P151" s="295"/>
      <c r="Q151" s="295"/>
      <c r="R151" s="295"/>
      <c r="S151" s="295"/>
      <c r="T151" s="295"/>
      <c r="U151" s="295"/>
      <c r="V151" s="295"/>
      <c r="W151" s="295"/>
      <c r="X151" s="295"/>
      <c r="Y151" s="776">
        <f>Y150</f>
        <v>1</v>
      </c>
      <c r="Z151" s="776">
        <f>Z150</f>
        <v>0</v>
      </c>
      <c r="AA151" s="776">
        <f t="shared" ref="AA151" si="48">AA150</f>
        <v>0</v>
      </c>
      <c r="AB151" s="410">
        <f t="shared" ref="AB151:AL151" si="49">AB150</f>
        <v>0</v>
      </c>
      <c r="AC151" s="410">
        <f t="shared" si="49"/>
        <v>0</v>
      </c>
      <c r="AD151" s="410">
        <f t="shared" si="49"/>
        <v>0</v>
      </c>
      <c r="AE151" s="410">
        <f t="shared" si="49"/>
        <v>0</v>
      </c>
      <c r="AF151" s="410">
        <f t="shared" si="49"/>
        <v>0</v>
      </c>
      <c r="AG151" s="410">
        <f t="shared" si="49"/>
        <v>0</v>
      </c>
      <c r="AH151" s="410">
        <f t="shared" si="49"/>
        <v>0</v>
      </c>
      <c r="AI151" s="410">
        <f t="shared" si="49"/>
        <v>0</v>
      </c>
      <c r="AJ151" s="410">
        <f t="shared" si="49"/>
        <v>0</v>
      </c>
      <c r="AK151" s="410">
        <f t="shared" si="49"/>
        <v>0</v>
      </c>
      <c r="AL151" s="410">
        <f t="shared" si="49"/>
        <v>0</v>
      </c>
      <c r="AM151" s="500"/>
    </row>
    <row r="152" spans="1:39" ht="15.75" outlineLevel="1">
      <c r="A152" s="506"/>
      <c r="B152" s="298"/>
      <c r="C152" s="299"/>
      <c r="D152" s="783"/>
      <c r="E152" s="783"/>
      <c r="F152" s="783"/>
      <c r="G152" s="783"/>
      <c r="H152" s="783"/>
      <c r="I152" s="783"/>
      <c r="J152" s="783"/>
      <c r="K152" s="783"/>
      <c r="L152" s="783"/>
      <c r="M152" s="783"/>
      <c r="N152" s="303"/>
      <c r="O152" s="783"/>
      <c r="P152" s="783"/>
      <c r="Q152" s="783"/>
      <c r="R152" s="783"/>
      <c r="S152" s="783"/>
      <c r="T152" s="783"/>
      <c r="U152" s="783"/>
      <c r="V152" s="783"/>
      <c r="W152" s="783"/>
      <c r="X152" s="783"/>
      <c r="Y152" s="777"/>
      <c r="Z152" s="820"/>
      <c r="AA152" s="820"/>
      <c r="AB152" s="412"/>
      <c r="AC152" s="412"/>
      <c r="AD152" s="412"/>
      <c r="AE152" s="412"/>
      <c r="AF152" s="412"/>
      <c r="AG152" s="412"/>
      <c r="AH152" s="412"/>
      <c r="AI152" s="412"/>
      <c r="AJ152" s="412"/>
      <c r="AK152" s="412"/>
      <c r="AL152" s="412"/>
      <c r="AM152" s="302"/>
    </row>
    <row r="153" spans="1:39" ht="15" outlineLevel="1">
      <c r="A153" s="504">
        <v>2</v>
      </c>
      <c r="B153" s="294" t="s">
        <v>2</v>
      </c>
      <c r="C153" s="291" t="s">
        <v>25</v>
      </c>
      <c r="D153" s="295">
        <f>+'7.  Persistence Report'!AR83</f>
        <v>14105.852336350083</v>
      </c>
      <c r="E153" s="295">
        <f>+'7.  Persistence Report'!AS83</f>
        <v>14105.852336350083</v>
      </c>
      <c r="F153" s="295">
        <f>+'7.  Persistence Report'!AT83</f>
        <v>14105.852336350083</v>
      </c>
      <c r="G153" s="295">
        <f>+'7.  Persistence Report'!AU83</f>
        <v>13998.801528177553</v>
      </c>
      <c r="H153" s="295">
        <f>+'7.  Persistence Report'!AV83</f>
        <v>0</v>
      </c>
      <c r="I153" s="295">
        <f>+'7.  Persistence Report'!AW83</f>
        <v>0</v>
      </c>
      <c r="J153" s="295">
        <f>+'7.  Persistence Report'!AX83</f>
        <v>0</v>
      </c>
      <c r="K153" s="295">
        <f>+'7.  Persistence Report'!AY83</f>
        <v>0</v>
      </c>
      <c r="L153" s="295">
        <f>+'7.  Persistence Report'!AZ83</f>
        <v>0</v>
      </c>
      <c r="M153" s="295">
        <f>+'7.  Persistence Report'!BA83</f>
        <v>0</v>
      </c>
      <c r="N153" s="758"/>
      <c r="O153" s="295">
        <f>+'7.  Persistence Report'!M83</f>
        <v>7.9707003311146467</v>
      </c>
      <c r="P153" s="295">
        <f>+'7.  Persistence Report'!N83</f>
        <v>7.9707003311146467</v>
      </c>
      <c r="Q153" s="295">
        <f>+'7.  Persistence Report'!O83</f>
        <v>7.9707003311146467</v>
      </c>
      <c r="R153" s="295">
        <f>+'7.  Persistence Report'!P83</f>
        <v>7.850990765536876</v>
      </c>
      <c r="S153" s="295">
        <f>+'7.  Persistence Report'!Q83</f>
        <v>0</v>
      </c>
      <c r="T153" s="295">
        <f>+'7.  Persistence Report'!R83</f>
        <v>0</v>
      </c>
      <c r="U153" s="295">
        <f>+'7.  Persistence Report'!S83</f>
        <v>0</v>
      </c>
      <c r="V153" s="295">
        <f>+'7.  Persistence Report'!T83</f>
        <v>0</v>
      </c>
      <c r="W153" s="295">
        <f>+'7.  Persistence Report'!U83</f>
        <v>0</v>
      </c>
      <c r="X153" s="295">
        <f>+'7.  Persistence Report'!V83</f>
        <v>0</v>
      </c>
      <c r="Y153" s="772">
        <v>1</v>
      </c>
      <c r="Z153" s="772"/>
      <c r="AA153" s="772"/>
      <c r="AB153" s="409"/>
      <c r="AC153" s="409"/>
      <c r="AD153" s="409"/>
      <c r="AE153" s="409"/>
      <c r="AF153" s="409"/>
      <c r="AG153" s="409"/>
      <c r="AH153" s="409"/>
      <c r="AI153" s="409"/>
      <c r="AJ153" s="409"/>
      <c r="AK153" s="409"/>
      <c r="AL153" s="409"/>
      <c r="AM153" s="296">
        <f>SUM(Y153:AL153)</f>
        <v>1</v>
      </c>
    </row>
    <row r="154" spans="1:39" ht="15" outlineLevel="1">
      <c r="B154" s="294" t="s">
        <v>244</v>
      </c>
      <c r="C154" s="291" t="s">
        <v>163</v>
      </c>
      <c r="D154" s="295"/>
      <c r="E154" s="295"/>
      <c r="F154" s="295"/>
      <c r="G154" s="295"/>
      <c r="H154" s="295"/>
      <c r="I154" s="295"/>
      <c r="J154" s="295"/>
      <c r="K154" s="295"/>
      <c r="L154" s="295"/>
      <c r="M154" s="295"/>
      <c r="N154" s="759"/>
      <c r="O154" s="295"/>
      <c r="P154" s="295"/>
      <c r="Q154" s="295"/>
      <c r="R154" s="295"/>
      <c r="S154" s="295"/>
      <c r="T154" s="295"/>
      <c r="U154" s="295"/>
      <c r="V154" s="295"/>
      <c r="W154" s="295"/>
      <c r="X154" s="295"/>
      <c r="Y154" s="776">
        <f>Y153</f>
        <v>1</v>
      </c>
      <c r="Z154" s="776">
        <f>Z153</f>
        <v>0</v>
      </c>
      <c r="AA154" s="776">
        <f t="shared" ref="AA154" si="50">AA153</f>
        <v>0</v>
      </c>
      <c r="AB154" s="410">
        <f t="shared" ref="AB154:AL154" si="51">AB153</f>
        <v>0</v>
      </c>
      <c r="AC154" s="410">
        <f t="shared" si="51"/>
        <v>0</v>
      </c>
      <c r="AD154" s="410">
        <f t="shared" si="51"/>
        <v>0</v>
      </c>
      <c r="AE154" s="410">
        <f t="shared" si="51"/>
        <v>0</v>
      </c>
      <c r="AF154" s="410">
        <f t="shared" si="51"/>
        <v>0</v>
      </c>
      <c r="AG154" s="410">
        <f t="shared" si="51"/>
        <v>0</v>
      </c>
      <c r="AH154" s="410">
        <f t="shared" si="51"/>
        <v>0</v>
      </c>
      <c r="AI154" s="410">
        <f t="shared" si="51"/>
        <v>0</v>
      </c>
      <c r="AJ154" s="410">
        <f t="shared" si="51"/>
        <v>0</v>
      </c>
      <c r="AK154" s="410">
        <f t="shared" si="51"/>
        <v>0</v>
      </c>
      <c r="AL154" s="410">
        <f t="shared" si="51"/>
        <v>0</v>
      </c>
      <c r="AM154" s="500"/>
    </row>
    <row r="155" spans="1:39" ht="15.75" outlineLevel="1">
      <c r="A155" s="506"/>
      <c r="B155" s="298"/>
      <c r="C155" s="299"/>
      <c r="D155" s="760"/>
      <c r="E155" s="760"/>
      <c r="F155" s="760"/>
      <c r="G155" s="760"/>
      <c r="H155" s="760"/>
      <c r="I155" s="760"/>
      <c r="J155" s="760"/>
      <c r="K155" s="760"/>
      <c r="L155" s="760"/>
      <c r="M155" s="760"/>
      <c r="N155" s="303"/>
      <c r="O155" s="760"/>
      <c r="P155" s="760"/>
      <c r="Q155" s="760"/>
      <c r="R155" s="760"/>
      <c r="S155" s="760"/>
      <c r="T155" s="760"/>
      <c r="U155" s="760"/>
      <c r="V155" s="760"/>
      <c r="W155" s="760"/>
      <c r="X155" s="760"/>
      <c r="Y155" s="777"/>
      <c r="Z155" s="820"/>
      <c r="AA155" s="820"/>
      <c r="AB155" s="412"/>
      <c r="AC155" s="412"/>
      <c r="AD155" s="412"/>
      <c r="AE155" s="412"/>
      <c r="AF155" s="412"/>
      <c r="AG155" s="412"/>
      <c r="AH155" s="412"/>
      <c r="AI155" s="412"/>
      <c r="AJ155" s="412"/>
      <c r="AK155" s="412"/>
      <c r="AL155" s="412"/>
      <c r="AM155" s="302"/>
    </row>
    <row r="156" spans="1:39" ht="15" outlineLevel="1">
      <c r="A156" s="504">
        <v>3</v>
      </c>
      <c r="B156" s="294" t="s">
        <v>3</v>
      </c>
      <c r="C156" s="291" t="s">
        <v>25</v>
      </c>
      <c r="D156" s="295">
        <f>+'7.  Persistence Report'!AR87</f>
        <v>689785.89970068005</v>
      </c>
      <c r="E156" s="295">
        <f>+'7.  Persistence Report'!AS87</f>
        <v>689785.89970068005</v>
      </c>
      <c r="F156" s="295">
        <f>+'7.  Persistence Report'!AT87</f>
        <v>689785.89970068005</v>
      </c>
      <c r="G156" s="295">
        <f>+'7.  Persistence Report'!AU87</f>
        <v>689785.89970068005</v>
      </c>
      <c r="H156" s="295">
        <f>+'7.  Persistence Report'!AV87</f>
        <v>689785.89970068005</v>
      </c>
      <c r="I156" s="295">
        <f>+'7.  Persistence Report'!AW87</f>
        <v>689785.89970068005</v>
      </c>
      <c r="J156" s="295">
        <f>+'7.  Persistence Report'!AX87</f>
        <v>689785.89970068005</v>
      </c>
      <c r="K156" s="295">
        <f>+'7.  Persistence Report'!AY87</f>
        <v>689785.89970068005</v>
      </c>
      <c r="L156" s="295">
        <f>+'7.  Persistence Report'!AZ87</f>
        <v>689785.89970068005</v>
      </c>
      <c r="M156" s="295">
        <f>+'7.  Persistence Report'!BA87</f>
        <v>689785.89970068005</v>
      </c>
      <c r="N156" s="758"/>
      <c r="O156" s="295">
        <f>+'7.  Persistence Report'!M87</f>
        <v>400.98091445087772</v>
      </c>
      <c r="P156" s="295">
        <f>+'7.  Persistence Report'!N87</f>
        <v>400.98091445087772</v>
      </c>
      <c r="Q156" s="295">
        <f>+'7.  Persistence Report'!O87</f>
        <v>400.98091445087772</v>
      </c>
      <c r="R156" s="295">
        <f>+'7.  Persistence Report'!P87</f>
        <v>400.98091445087772</v>
      </c>
      <c r="S156" s="295">
        <f>+'7.  Persistence Report'!Q87</f>
        <v>400.98091445087772</v>
      </c>
      <c r="T156" s="295">
        <f>+'7.  Persistence Report'!R87</f>
        <v>400.98091445087772</v>
      </c>
      <c r="U156" s="295">
        <f>+'7.  Persistence Report'!S87</f>
        <v>400.98091445087772</v>
      </c>
      <c r="V156" s="295">
        <f>+'7.  Persistence Report'!T87</f>
        <v>400.98091445087772</v>
      </c>
      <c r="W156" s="295">
        <f>+'7.  Persistence Report'!U87</f>
        <v>400.98091445087772</v>
      </c>
      <c r="X156" s="295">
        <f>+'7.  Persistence Report'!V87</f>
        <v>400.98091445087772</v>
      </c>
      <c r="Y156" s="772">
        <v>1</v>
      </c>
      <c r="Z156" s="772"/>
      <c r="AA156" s="772"/>
      <c r="AB156" s="409"/>
      <c r="AC156" s="409"/>
      <c r="AD156" s="409"/>
      <c r="AE156" s="409"/>
      <c r="AF156" s="409"/>
      <c r="AG156" s="409"/>
      <c r="AH156" s="409"/>
      <c r="AI156" s="409"/>
      <c r="AJ156" s="409"/>
      <c r="AK156" s="409"/>
      <c r="AL156" s="409"/>
      <c r="AM156" s="296">
        <f>SUM(Y156:AL156)</f>
        <v>1</v>
      </c>
    </row>
    <row r="157" spans="1:39" ht="15" outlineLevel="1">
      <c r="B157" s="294" t="s">
        <v>244</v>
      </c>
      <c r="C157" s="291" t="s">
        <v>163</v>
      </c>
      <c r="D157" s="295">
        <f>+'7.  Persistence Report'!AR96+'7.  Persistence Report'!AR97+'7.  Persistence Report'!AR102</f>
        <v>15656.986357529937</v>
      </c>
      <c r="E157" s="295">
        <f>+'7.  Persistence Report'!AS96+'7.  Persistence Report'!AS97+'7.  Persistence Report'!AS102</f>
        <v>15656.986357529937</v>
      </c>
      <c r="F157" s="295">
        <f>+'7.  Persistence Report'!AT96+'7.  Persistence Report'!AT97+'7.  Persistence Report'!AT102</f>
        <v>15656.986357529937</v>
      </c>
      <c r="G157" s="295">
        <f>+'7.  Persistence Report'!AU96+'7.  Persistence Report'!AU97+'7.  Persistence Report'!AU102</f>
        <v>15656.986357529937</v>
      </c>
      <c r="H157" s="295">
        <f>+'7.  Persistence Report'!AV96+'7.  Persistence Report'!AV97+'7.  Persistence Report'!AV102</f>
        <v>15656.986357529937</v>
      </c>
      <c r="I157" s="295">
        <f>+'7.  Persistence Report'!AW96+'7.  Persistence Report'!AW97+'7.  Persistence Report'!AW102</f>
        <v>15656.986357529937</v>
      </c>
      <c r="J157" s="295">
        <f>+'7.  Persistence Report'!AX96+'7.  Persistence Report'!AX97+'7.  Persistence Report'!AX102</f>
        <v>15656.986357529937</v>
      </c>
      <c r="K157" s="295">
        <f>+'7.  Persistence Report'!AY96+'7.  Persistence Report'!AY97+'7.  Persistence Report'!AY102</f>
        <v>15656.986357529937</v>
      </c>
      <c r="L157" s="295">
        <f>+'7.  Persistence Report'!AZ96+'7.  Persistence Report'!AZ97+'7.  Persistence Report'!AZ102</f>
        <v>15656.986357529937</v>
      </c>
      <c r="M157" s="295">
        <f>+'7.  Persistence Report'!BA96+'7.  Persistence Report'!BA97+'7.  Persistence Report'!BA102</f>
        <v>15656.986357529937</v>
      </c>
      <c r="N157" s="759"/>
      <c r="O157" s="295">
        <f>+'7.  Persistence Report'!M96+'7.  Persistence Report'!M97+'7.  Persistence Report'!M102</f>
        <v>7.4916223770336092</v>
      </c>
      <c r="P157" s="295">
        <f>+'7.  Persistence Report'!N96+'7.  Persistence Report'!N97+'7.  Persistence Report'!N102</f>
        <v>7.4916223770336092</v>
      </c>
      <c r="Q157" s="295">
        <f>+'7.  Persistence Report'!O96+'7.  Persistence Report'!O97+'7.  Persistence Report'!O102</f>
        <v>7.4916223770336092</v>
      </c>
      <c r="R157" s="295">
        <f>+'7.  Persistence Report'!P96+'7.  Persistence Report'!P97+'7.  Persistence Report'!P102</f>
        <v>7.4916223770336092</v>
      </c>
      <c r="S157" s="295">
        <f>+'7.  Persistence Report'!Q96+'7.  Persistence Report'!Q97+'7.  Persistence Report'!Q102</f>
        <v>7.4916223770336092</v>
      </c>
      <c r="T157" s="295">
        <f>+'7.  Persistence Report'!R96+'7.  Persistence Report'!R97+'7.  Persistence Report'!R102</f>
        <v>7.4916223770336092</v>
      </c>
      <c r="U157" s="295">
        <f>+'7.  Persistence Report'!S96+'7.  Persistence Report'!S97+'7.  Persistence Report'!S102</f>
        <v>7.4916223770336092</v>
      </c>
      <c r="V157" s="295">
        <f>+'7.  Persistence Report'!T96+'7.  Persistence Report'!T97+'7.  Persistence Report'!T102</f>
        <v>7.4916223770336092</v>
      </c>
      <c r="W157" s="295">
        <f>+'7.  Persistence Report'!U96+'7.  Persistence Report'!U97+'7.  Persistence Report'!U102</f>
        <v>7.4916223770336092</v>
      </c>
      <c r="X157" s="295">
        <f>+'7.  Persistence Report'!V96+'7.  Persistence Report'!V97+'7.  Persistence Report'!V102</f>
        <v>7.4916223770336092</v>
      </c>
      <c r="Y157" s="776">
        <f>Y156</f>
        <v>1</v>
      </c>
      <c r="Z157" s="776">
        <f>Z156</f>
        <v>0</v>
      </c>
      <c r="AA157" s="776">
        <f t="shared" ref="AA157" si="52">AA156</f>
        <v>0</v>
      </c>
      <c r="AB157" s="410">
        <f t="shared" ref="AB157:AL157" si="53">AB156</f>
        <v>0</v>
      </c>
      <c r="AC157" s="410">
        <f t="shared" si="53"/>
        <v>0</v>
      </c>
      <c r="AD157" s="410">
        <f t="shared" si="53"/>
        <v>0</v>
      </c>
      <c r="AE157" s="410">
        <f t="shared" si="53"/>
        <v>0</v>
      </c>
      <c r="AF157" s="410">
        <f t="shared" si="53"/>
        <v>0</v>
      </c>
      <c r="AG157" s="410">
        <f t="shared" si="53"/>
        <v>0</v>
      </c>
      <c r="AH157" s="410">
        <f t="shared" si="53"/>
        <v>0</v>
      </c>
      <c r="AI157" s="410">
        <f t="shared" si="53"/>
        <v>0</v>
      </c>
      <c r="AJ157" s="410">
        <f t="shared" si="53"/>
        <v>0</v>
      </c>
      <c r="AK157" s="410">
        <f t="shared" si="53"/>
        <v>0</v>
      </c>
      <c r="AL157" s="410">
        <f t="shared" si="53"/>
        <v>0</v>
      </c>
      <c r="AM157" s="500"/>
    </row>
    <row r="158" spans="1:39" ht="15" outlineLevel="1">
      <c r="B158" s="294"/>
      <c r="C158" s="305"/>
      <c r="D158" s="758"/>
      <c r="E158" s="758"/>
      <c r="F158" s="758"/>
      <c r="G158" s="758"/>
      <c r="H158" s="758"/>
      <c r="I158" s="758"/>
      <c r="J158" s="758"/>
      <c r="K158" s="758"/>
      <c r="L158" s="758"/>
      <c r="M158" s="758"/>
      <c r="N158" s="283"/>
      <c r="O158" s="758"/>
      <c r="P158" s="758"/>
      <c r="Q158" s="758"/>
      <c r="R158" s="758"/>
      <c r="S158" s="758"/>
      <c r="T158" s="758"/>
      <c r="U158" s="758"/>
      <c r="V158" s="758"/>
      <c r="W158" s="758"/>
      <c r="X158" s="758"/>
      <c r="Y158" s="777"/>
      <c r="Z158" s="777"/>
      <c r="AA158" s="777"/>
      <c r="AB158" s="411"/>
      <c r="AC158" s="411"/>
      <c r="AD158" s="411"/>
      <c r="AE158" s="411"/>
      <c r="AF158" s="411"/>
      <c r="AG158" s="411"/>
      <c r="AH158" s="411"/>
      <c r="AI158" s="411"/>
      <c r="AJ158" s="411"/>
      <c r="AK158" s="411"/>
      <c r="AL158" s="411"/>
      <c r="AM158" s="306"/>
    </row>
    <row r="159" spans="1:39" ht="15" outlineLevel="1">
      <c r="A159" s="504">
        <v>4</v>
      </c>
      <c r="B159" s="294" t="s">
        <v>4</v>
      </c>
      <c r="C159" s="291" t="s">
        <v>25</v>
      </c>
      <c r="D159" s="295">
        <f>+'7.  Persistence Report'!AR86</f>
        <v>22804.826940017141</v>
      </c>
      <c r="E159" s="295">
        <f>+'7.  Persistence Report'!AS86</f>
        <v>22804.826940017141</v>
      </c>
      <c r="F159" s="295">
        <f>+'7.  Persistence Report'!AT86</f>
        <v>22804.826940017141</v>
      </c>
      <c r="G159" s="295">
        <f>+'7.  Persistence Report'!AU86</f>
        <v>22804.826940017141</v>
      </c>
      <c r="H159" s="295">
        <f>+'7.  Persistence Report'!AV86</f>
        <v>22462.218863520055</v>
      </c>
      <c r="I159" s="295">
        <f>+'7.  Persistence Report'!AW86</f>
        <v>22462.218863520055</v>
      </c>
      <c r="J159" s="295">
        <f>+'7.  Persistence Report'!AX86</f>
        <v>10577.382504351395</v>
      </c>
      <c r="K159" s="295">
        <f>+'7.  Persistence Report'!AY86</f>
        <v>10519.005609666781</v>
      </c>
      <c r="L159" s="295">
        <f>+'7.  Persistence Report'!AZ86</f>
        <v>10519.005609666781</v>
      </c>
      <c r="M159" s="295">
        <f>+'7.  Persistence Report'!BA86</f>
        <v>10519.005609666781</v>
      </c>
      <c r="N159" s="758"/>
      <c r="O159" s="295">
        <f>+'7.  Persistence Report'!M86</f>
        <v>3.7581033712972123</v>
      </c>
      <c r="P159" s="295">
        <f>+'7.  Persistence Report'!N86</f>
        <v>3.7581033712972123</v>
      </c>
      <c r="Q159" s="295">
        <f>+'7.  Persistence Report'!O86</f>
        <v>3.7581033712972123</v>
      </c>
      <c r="R159" s="295">
        <f>+'7.  Persistence Report'!P86</f>
        <v>3.7581033712972123</v>
      </c>
      <c r="S159" s="295">
        <f>+'7.  Persistence Report'!Q86</f>
        <v>3.742239606626288</v>
      </c>
      <c r="T159" s="295">
        <f>+'7.  Persistence Report'!R86</f>
        <v>3.742239606626288</v>
      </c>
      <c r="U159" s="295">
        <f>+'7.  Persistence Report'!S86</f>
        <v>3.191936621705564</v>
      </c>
      <c r="V159" s="295">
        <f>+'7.  Persistence Report'!T86</f>
        <v>3.185272592631978</v>
      </c>
      <c r="W159" s="295">
        <f>+'7.  Persistence Report'!U86</f>
        <v>3.185272592631978</v>
      </c>
      <c r="X159" s="295">
        <f>+'7.  Persistence Report'!V86</f>
        <v>3.185272592631978</v>
      </c>
      <c r="Y159" s="772">
        <v>1</v>
      </c>
      <c r="Z159" s="772"/>
      <c r="AA159" s="772"/>
      <c r="AB159" s="409"/>
      <c r="AC159" s="409"/>
      <c r="AD159" s="409"/>
      <c r="AE159" s="409"/>
      <c r="AF159" s="409"/>
      <c r="AG159" s="409"/>
      <c r="AH159" s="409"/>
      <c r="AI159" s="409"/>
      <c r="AJ159" s="409"/>
      <c r="AK159" s="409"/>
      <c r="AL159" s="409"/>
      <c r="AM159" s="296">
        <f>SUM(Y159:AL159)</f>
        <v>1</v>
      </c>
    </row>
    <row r="160" spans="1:39" ht="15" outlineLevel="1">
      <c r="B160" s="294" t="s">
        <v>244</v>
      </c>
      <c r="C160" s="291" t="s">
        <v>163</v>
      </c>
      <c r="D160" s="295"/>
      <c r="E160" s="295"/>
      <c r="F160" s="295"/>
      <c r="G160" s="295"/>
      <c r="H160" s="295"/>
      <c r="I160" s="295"/>
      <c r="J160" s="295"/>
      <c r="K160" s="295"/>
      <c r="L160" s="295"/>
      <c r="M160" s="295"/>
      <c r="N160" s="759"/>
      <c r="O160" s="295"/>
      <c r="P160" s="295"/>
      <c r="Q160" s="295"/>
      <c r="R160" s="295"/>
      <c r="S160" s="295"/>
      <c r="T160" s="295"/>
      <c r="U160" s="295"/>
      <c r="V160" s="295"/>
      <c r="W160" s="295"/>
      <c r="X160" s="295"/>
      <c r="Y160" s="776">
        <f>Y159</f>
        <v>1</v>
      </c>
      <c r="Z160" s="776">
        <f>Z159</f>
        <v>0</v>
      </c>
      <c r="AA160" s="776">
        <f t="shared" ref="AA160" si="54">AA159</f>
        <v>0</v>
      </c>
      <c r="AB160" s="410">
        <f t="shared" ref="AB160:AL160" si="55">AB159</f>
        <v>0</v>
      </c>
      <c r="AC160" s="410">
        <f t="shared" si="55"/>
        <v>0</v>
      </c>
      <c r="AD160" s="410">
        <f t="shared" si="55"/>
        <v>0</v>
      </c>
      <c r="AE160" s="410">
        <f t="shared" si="55"/>
        <v>0</v>
      </c>
      <c r="AF160" s="410">
        <f t="shared" si="55"/>
        <v>0</v>
      </c>
      <c r="AG160" s="410">
        <f t="shared" si="55"/>
        <v>0</v>
      </c>
      <c r="AH160" s="410">
        <f t="shared" si="55"/>
        <v>0</v>
      </c>
      <c r="AI160" s="410">
        <f t="shared" si="55"/>
        <v>0</v>
      </c>
      <c r="AJ160" s="410">
        <f t="shared" si="55"/>
        <v>0</v>
      </c>
      <c r="AK160" s="410">
        <f t="shared" si="55"/>
        <v>0</v>
      </c>
      <c r="AL160" s="410">
        <f t="shared" si="55"/>
        <v>0</v>
      </c>
      <c r="AM160" s="500"/>
    </row>
    <row r="161" spans="1:39" ht="15" outlineLevel="1">
      <c r="B161" s="294"/>
      <c r="C161" s="305"/>
      <c r="D161" s="760"/>
      <c r="E161" s="760"/>
      <c r="F161" s="760"/>
      <c r="G161" s="760"/>
      <c r="H161" s="760"/>
      <c r="I161" s="760"/>
      <c r="J161" s="760"/>
      <c r="K161" s="760"/>
      <c r="L161" s="760"/>
      <c r="M161" s="760"/>
      <c r="N161" s="758"/>
      <c r="O161" s="760"/>
      <c r="P161" s="760"/>
      <c r="Q161" s="760"/>
      <c r="R161" s="760"/>
      <c r="S161" s="760"/>
      <c r="T161" s="760"/>
      <c r="U161" s="760"/>
      <c r="V161" s="760"/>
      <c r="W161" s="760"/>
      <c r="X161" s="760"/>
      <c r="Y161" s="777"/>
      <c r="Z161" s="777"/>
      <c r="AA161" s="777"/>
      <c r="AB161" s="411"/>
      <c r="AC161" s="411"/>
      <c r="AD161" s="411"/>
      <c r="AE161" s="411"/>
      <c r="AF161" s="411"/>
      <c r="AG161" s="411"/>
      <c r="AH161" s="411"/>
      <c r="AI161" s="411"/>
      <c r="AJ161" s="411"/>
      <c r="AK161" s="411"/>
      <c r="AL161" s="411"/>
      <c r="AM161" s="306"/>
    </row>
    <row r="162" spans="1:39" ht="15" outlineLevel="1">
      <c r="A162" s="504">
        <v>5</v>
      </c>
      <c r="B162" s="294" t="s">
        <v>5</v>
      </c>
      <c r="C162" s="291" t="s">
        <v>25</v>
      </c>
      <c r="D162" s="295">
        <f>+'7.  Persistence Report'!AR85</f>
        <v>436812.07062581723</v>
      </c>
      <c r="E162" s="295">
        <f>+'7.  Persistence Report'!AS85</f>
        <v>436812.07062581723</v>
      </c>
      <c r="F162" s="295">
        <f>+'7.  Persistence Report'!AT85</f>
        <v>436812.07062581723</v>
      </c>
      <c r="G162" s="295">
        <f>+'7.  Persistence Report'!AU85</f>
        <v>436812.07062581723</v>
      </c>
      <c r="H162" s="295">
        <f>+'7.  Persistence Report'!AV85</f>
        <v>392666.26345095207</v>
      </c>
      <c r="I162" s="295">
        <f>+'7.  Persistence Report'!AW85</f>
        <v>319293.75834153057</v>
      </c>
      <c r="J162" s="295">
        <f>+'7.  Persistence Report'!AX85</f>
        <v>217791.09107078478</v>
      </c>
      <c r="K162" s="295">
        <f>+'7.  Persistence Report'!AY85</f>
        <v>217338.37229567958</v>
      </c>
      <c r="L162" s="295">
        <f>+'7.  Persistence Report'!AZ85</f>
        <v>217338.37229567958</v>
      </c>
      <c r="M162" s="295">
        <f>+'7.  Persistence Report'!BA85</f>
        <v>110391.3543437505</v>
      </c>
      <c r="N162" s="758"/>
      <c r="O162" s="295">
        <f>+'7.  Persistence Report'!M85</f>
        <v>24.13869259330934</v>
      </c>
      <c r="P162" s="295">
        <f>+'7.  Persistence Report'!N85</f>
        <v>24.13869259330934</v>
      </c>
      <c r="Q162" s="295">
        <f>+'7.  Persistence Report'!O85</f>
        <v>24.13869259330934</v>
      </c>
      <c r="R162" s="295">
        <f>+'7.  Persistence Report'!P85</f>
        <v>24.13869259330934</v>
      </c>
      <c r="S162" s="295">
        <f>+'7.  Persistence Report'!Q85</f>
        <v>22.094611486435571</v>
      </c>
      <c r="T162" s="295">
        <f>+'7.  Persistence Report'!R85</f>
        <v>18.697248043423034</v>
      </c>
      <c r="U162" s="295">
        <f>+'7.  Persistence Report'!S85</f>
        <v>13.997375105465824</v>
      </c>
      <c r="V162" s="295">
        <f>+'7.  Persistence Report'!T85</f>
        <v>13.9456948799972</v>
      </c>
      <c r="W162" s="295">
        <f>+'7.  Persistence Report'!U85</f>
        <v>13.9456948799972</v>
      </c>
      <c r="X162" s="295">
        <f>+'7.  Persistence Report'!V85</f>
        <v>8.9937324441060245</v>
      </c>
      <c r="Y162" s="772">
        <v>1</v>
      </c>
      <c r="Z162" s="772"/>
      <c r="AA162" s="772"/>
      <c r="AB162" s="409"/>
      <c r="AC162" s="409"/>
      <c r="AD162" s="409"/>
      <c r="AE162" s="409"/>
      <c r="AF162" s="409"/>
      <c r="AG162" s="409"/>
      <c r="AH162" s="409"/>
      <c r="AI162" s="409"/>
      <c r="AJ162" s="409"/>
      <c r="AK162" s="409"/>
      <c r="AL162" s="409"/>
      <c r="AM162" s="296">
        <f>SUM(Y162:AL162)</f>
        <v>1</v>
      </c>
    </row>
    <row r="163" spans="1:39" ht="15" outlineLevel="1">
      <c r="B163" s="294" t="s">
        <v>244</v>
      </c>
      <c r="C163" s="291" t="s">
        <v>163</v>
      </c>
      <c r="D163" s="295"/>
      <c r="E163" s="295"/>
      <c r="F163" s="295"/>
      <c r="G163" s="295"/>
      <c r="H163" s="295"/>
      <c r="I163" s="295"/>
      <c r="J163" s="295"/>
      <c r="K163" s="295"/>
      <c r="L163" s="295"/>
      <c r="M163" s="295"/>
      <c r="N163" s="759"/>
      <c r="O163" s="295"/>
      <c r="P163" s="295"/>
      <c r="Q163" s="295"/>
      <c r="R163" s="295"/>
      <c r="S163" s="295"/>
      <c r="T163" s="295"/>
      <c r="U163" s="295"/>
      <c r="V163" s="295"/>
      <c r="W163" s="295"/>
      <c r="X163" s="295"/>
      <c r="Y163" s="776">
        <f>Y162</f>
        <v>1</v>
      </c>
      <c r="Z163" s="776">
        <f>Z162</f>
        <v>0</v>
      </c>
      <c r="AA163" s="776">
        <f t="shared" ref="AA163" si="56">AA162</f>
        <v>0</v>
      </c>
      <c r="AB163" s="410">
        <f t="shared" ref="AB163:AL163" si="57">AB162</f>
        <v>0</v>
      </c>
      <c r="AC163" s="410">
        <f t="shared" si="57"/>
        <v>0</v>
      </c>
      <c r="AD163" s="410">
        <f t="shared" si="57"/>
        <v>0</v>
      </c>
      <c r="AE163" s="410">
        <f t="shared" si="57"/>
        <v>0</v>
      </c>
      <c r="AF163" s="410">
        <f t="shared" si="57"/>
        <v>0</v>
      </c>
      <c r="AG163" s="410">
        <f t="shared" si="57"/>
        <v>0</v>
      </c>
      <c r="AH163" s="410">
        <f t="shared" si="57"/>
        <v>0</v>
      </c>
      <c r="AI163" s="410">
        <f t="shared" si="57"/>
        <v>0</v>
      </c>
      <c r="AJ163" s="410">
        <f t="shared" si="57"/>
        <v>0</v>
      </c>
      <c r="AK163" s="410">
        <f t="shared" si="57"/>
        <v>0</v>
      </c>
      <c r="AL163" s="410">
        <f t="shared" si="57"/>
        <v>0</v>
      </c>
      <c r="AM163" s="500"/>
    </row>
    <row r="164" spans="1:39" ht="15" outlineLevel="1">
      <c r="B164" s="294"/>
      <c r="C164" s="305"/>
      <c r="D164" s="760"/>
      <c r="E164" s="760"/>
      <c r="F164" s="760"/>
      <c r="G164" s="760"/>
      <c r="H164" s="760"/>
      <c r="I164" s="760"/>
      <c r="J164" s="760"/>
      <c r="K164" s="760"/>
      <c r="L164" s="760"/>
      <c r="M164" s="760"/>
      <c r="N164" s="758"/>
      <c r="O164" s="760"/>
      <c r="P164" s="760"/>
      <c r="Q164" s="760"/>
      <c r="R164" s="760"/>
      <c r="S164" s="760"/>
      <c r="T164" s="760"/>
      <c r="U164" s="760"/>
      <c r="V164" s="760"/>
      <c r="W164" s="760"/>
      <c r="X164" s="760"/>
      <c r="Y164" s="777"/>
      <c r="Z164" s="777"/>
      <c r="AA164" s="777"/>
      <c r="AB164" s="411"/>
      <c r="AC164" s="411"/>
      <c r="AD164" s="411"/>
      <c r="AE164" s="411"/>
      <c r="AF164" s="411"/>
      <c r="AG164" s="411"/>
      <c r="AH164" s="411"/>
      <c r="AI164" s="411"/>
      <c r="AJ164" s="411"/>
      <c r="AK164" s="411"/>
      <c r="AL164" s="411"/>
      <c r="AM164" s="306"/>
    </row>
    <row r="165" spans="1:39" ht="15" outlineLevel="1">
      <c r="A165" s="504">
        <v>6</v>
      </c>
      <c r="B165" s="294" t="s">
        <v>6</v>
      </c>
      <c r="C165" s="291" t="s">
        <v>25</v>
      </c>
      <c r="D165" s="295"/>
      <c r="E165" s="295"/>
      <c r="F165" s="295"/>
      <c r="G165" s="295"/>
      <c r="H165" s="295"/>
      <c r="I165" s="295"/>
      <c r="J165" s="295"/>
      <c r="K165" s="295"/>
      <c r="L165" s="295"/>
      <c r="M165" s="295"/>
      <c r="N165" s="758"/>
      <c r="O165" s="295"/>
      <c r="P165" s="295"/>
      <c r="Q165" s="295"/>
      <c r="R165" s="295"/>
      <c r="S165" s="295"/>
      <c r="T165" s="295"/>
      <c r="U165" s="295"/>
      <c r="V165" s="295"/>
      <c r="W165" s="295"/>
      <c r="X165" s="295"/>
      <c r="Y165" s="772"/>
      <c r="Z165" s="772"/>
      <c r="AA165" s="772"/>
      <c r="AB165" s="409"/>
      <c r="AC165" s="409"/>
      <c r="AD165" s="409"/>
      <c r="AE165" s="409"/>
      <c r="AF165" s="409"/>
      <c r="AG165" s="409"/>
      <c r="AH165" s="409"/>
      <c r="AI165" s="409"/>
      <c r="AJ165" s="409"/>
      <c r="AK165" s="409"/>
      <c r="AL165" s="409"/>
      <c r="AM165" s="296">
        <f>SUM(Y165:AL165)</f>
        <v>0</v>
      </c>
    </row>
    <row r="166" spans="1:39" ht="15" outlineLevel="1">
      <c r="B166" s="294" t="s">
        <v>244</v>
      </c>
      <c r="C166" s="291" t="s">
        <v>163</v>
      </c>
      <c r="D166" s="295"/>
      <c r="E166" s="295"/>
      <c r="F166" s="295"/>
      <c r="G166" s="295"/>
      <c r="H166" s="295"/>
      <c r="I166" s="295"/>
      <c r="J166" s="295"/>
      <c r="K166" s="295"/>
      <c r="L166" s="295"/>
      <c r="M166" s="295"/>
      <c r="N166" s="759"/>
      <c r="O166" s="295"/>
      <c r="P166" s="295"/>
      <c r="Q166" s="295"/>
      <c r="R166" s="295"/>
      <c r="S166" s="295"/>
      <c r="T166" s="295"/>
      <c r="U166" s="295"/>
      <c r="V166" s="295"/>
      <c r="W166" s="295"/>
      <c r="X166" s="295"/>
      <c r="Y166" s="776">
        <f>Y165</f>
        <v>0</v>
      </c>
      <c r="Z166" s="776">
        <f>Z165</f>
        <v>0</v>
      </c>
      <c r="AA166" s="776">
        <f t="shared" ref="AA166" si="58">AA165</f>
        <v>0</v>
      </c>
      <c r="AB166" s="410">
        <f t="shared" ref="AB166:AL166" si="59">AB165</f>
        <v>0</v>
      </c>
      <c r="AC166" s="410">
        <f t="shared" si="59"/>
        <v>0</v>
      </c>
      <c r="AD166" s="410">
        <f t="shared" si="59"/>
        <v>0</v>
      </c>
      <c r="AE166" s="410">
        <f t="shared" si="59"/>
        <v>0</v>
      </c>
      <c r="AF166" s="410">
        <f t="shared" si="59"/>
        <v>0</v>
      </c>
      <c r="AG166" s="410">
        <f t="shared" si="59"/>
        <v>0</v>
      </c>
      <c r="AH166" s="410">
        <f t="shared" si="59"/>
        <v>0</v>
      </c>
      <c r="AI166" s="410">
        <f t="shared" si="59"/>
        <v>0</v>
      </c>
      <c r="AJ166" s="410">
        <f t="shared" si="59"/>
        <v>0</v>
      </c>
      <c r="AK166" s="410">
        <f t="shared" si="59"/>
        <v>0</v>
      </c>
      <c r="AL166" s="410">
        <f t="shared" si="59"/>
        <v>0</v>
      </c>
      <c r="AM166" s="500"/>
    </row>
    <row r="167" spans="1:39" ht="15" outlineLevel="1">
      <c r="B167" s="294"/>
      <c r="C167" s="305"/>
      <c r="D167" s="760"/>
      <c r="E167" s="760"/>
      <c r="F167" s="760"/>
      <c r="G167" s="760"/>
      <c r="H167" s="760"/>
      <c r="I167" s="760"/>
      <c r="J167" s="760"/>
      <c r="K167" s="760"/>
      <c r="L167" s="760"/>
      <c r="M167" s="760"/>
      <c r="N167" s="758"/>
      <c r="O167" s="760"/>
      <c r="P167" s="760"/>
      <c r="Q167" s="760"/>
      <c r="R167" s="760"/>
      <c r="S167" s="760"/>
      <c r="T167" s="760"/>
      <c r="U167" s="760"/>
      <c r="V167" s="760"/>
      <c r="W167" s="760"/>
      <c r="X167" s="760"/>
      <c r="Y167" s="777"/>
      <c r="Z167" s="777"/>
      <c r="AA167" s="777"/>
      <c r="AB167" s="411"/>
      <c r="AC167" s="411"/>
      <c r="AD167" s="411"/>
      <c r="AE167" s="411"/>
      <c r="AF167" s="411"/>
      <c r="AG167" s="411"/>
      <c r="AH167" s="411"/>
      <c r="AI167" s="411"/>
      <c r="AJ167" s="411"/>
      <c r="AK167" s="411"/>
      <c r="AL167" s="411"/>
      <c r="AM167" s="306"/>
    </row>
    <row r="168" spans="1:39" ht="15" outlineLevel="1">
      <c r="A168" s="504">
        <v>7</v>
      </c>
      <c r="B168" s="294" t="s">
        <v>42</v>
      </c>
      <c r="C168" s="291" t="s">
        <v>25</v>
      </c>
      <c r="D168" s="295"/>
      <c r="E168" s="295"/>
      <c r="F168" s="295"/>
      <c r="G168" s="295"/>
      <c r="H168" s="295"/>
      <c r="I168" s="295"/>
      <c r="J168" s="295"/>
      <c r="K168" s="295"/>
      <c r="L168" s="295"/>
      <c r="M168" s="295"/>
      <c r="N168" s="758"/>
      <c r="O168" s="295"/>
      <c r="P168" s="295"/>
      <c r="Q168" s="295"/>
      <c r="R168" s="295"/>
      <c r="S168" s="295"/>
      <c r="T168" s="295"/>
      <c r="U168" s="295"/>
      <c r="V168" s="295"/>
      <c r="W168" s="295"/>
      <c r="X168" s="295"/>
      <c r="Y168" s="772"/>
      <c r="Z168" s="772"/>
      <c r="AA168" s="772"/>
      <c r="AB168" s="409"/>
      <c r="AC168" s="409"/>
      <c r="AD168" s="409"/>
      <c r="AE168" s="409"/>
      <c r="AF168" s="409"/>
      <c r="AG168" s="409"/>
      <c r="AH168" s="409"/>
      <c r="AI168" s="409"/>
      <c r="AJ168" s="409"/>
      <c r="AK168" s="409"/>
      <c r="AL168" s="409"/>
      <c r="AM168" s="296">
        <f>SUM(Y168:AL168)</f>
        <v>0</v>
      </c>
    </row>
    <row r="169" spans="1:39" ht="15" outlineLevel="1">
      <c r="B169" s="294" t="s">
        <v>244</v>
      </c>
      <c r="C169" s="291" t="s">
        <v>163</v>
      </c>
      <c r="D169" s="295"/>
      <c r="E169" s="295"/>
      <c r="F169" s="295"/>
      <c r="G169" s="295"/>
      <c r="H169" s="295"/>
      <c r="I169" s="295"/>
      <c r="J169" s="295"/>
      <c r="K169" s="295"/>
      <c r="L169" s="295"/>
      <c r="M169" s="295"/>
      <c r="N169" s="758"/>
      <c r="O169" s="295"/>
      <c r="P169" s="295"/>
      <c r="Q169" s="295"/>
      <c r="R169" s="295"/>
      <c r="S169" s="295"/>
      <c r="T169" s="295"/>
      <c r="U169" s="295"/>
      <c r="V169" s="295"/>
      <c r="W169" s="295"/>
      <c r="X169" s="295"/>
      <c r="Y169" s="776">
        <f>Y168</f>
        <v>0</v>
      </c>
      <c r="Z169" s="776">
        <f>Z168</f>
        <v>0</v>
      </c>
      <c r="AA169" s="776">
        <f t="shared" ref="AA169" si="60">AA168</f>
        <v>0</v>
      </c>
      <c r="AB169" s="410">
        <f t="shared" ref="AB169:AL169" si="61">AB168</f>
        <v>0</v>
      </c>
      <c r="AC169" s="410">
        <f t="shared" si="61"/>
        <v>0</v>
      </c>
      <c r="AD169" s="410">
        <f t="shared" si="61"/>
        <v>0</v>
      </c>
      <c r="AE169" s="410">
        <f t="shared" si="61"/>
        <v>0</v>
      </c>
      <c r="AF169" s="410">
        <f t="shared" si="61"/>
        <v>0</v>
      </c>
      <c r="AG169" s="410">
        <f t="shared" si="61"/>
        <v>0</v>
      </c>
      <c r="AH169" s="410">
        <f t="shared" si="61"/>
        <v>0</v>
      </c>
      <c r="AI169" s="410">
        <f t="shared" si="61"/>
        <v>0</v>
      </c>
      <c r="AJ169" s="410">
        <f t="shared" si="61"/>
        <v>0</v>
      </c>
      <c r="AK169" s="410">
        <f t="shared" si="61"/>
        <v>0</v>
      </c>
      <c r="AL169" s="410">
        <f t="shared" si="61"/>
        <v>0</v>
      </c>
      <c r="AM169" s="500"/>
    </row>
    <row r="170" spans="1:39" ht="15" outlineLevel="1">
      <c r="B170" s="294"/>
      <c r="C170" s="305"/>
      <c r="D170" s="760"/>
      <c r="E170" s="760"/>
      <c r="F170" s="760"/>
      <c r="G170" s="760"/>
      <c r="H170" s="760"/>
      <c r="I170" s="760"/>
      <c r="J170" s="760"/>
      <c r="K170" s="760"/>
      <c r="L170" s="760"/>
      <c r="M170" s="760"/>
      <c r="N170" s="758"/>
      <c r="O170" s="760"/>
      <c r="P170" s="760"/>
      <c r="Q170" s="760"/>
      <c r="R170" s="760"/>
      <c r="S170" s="760"/>
      <c r="T170" s="760"/>
      <c r="U170" s="760"/>
      <c r="V170" s="760"/>
      <c r="W170" s="760"/>
      <c r="X170" s="760"/>
      <c r="Y170" s="777"/>
      <c r="Z170" s="777"/>
      <c r="AA170" s="777"/>
      <c r="AB170" s="411"/>
      <c r="AC170" s="411"/>
      <c r="AD170" s="411"/>
      <c r="AE170" s="411"/>
      <c r="AF170" s="411"/>
      <c r="AG170" s="411"/>
      <c r="AH170" s="411"/>
      <c r="AI170" s="411"/>
      <c r="AJ170" s="411"/>
      <c r="AK170" s="411"/>
      <c r="AL170" s="411"/>
      <c r="AM170" s="306"/>
    </row>
    <row r="171" spans="1:39" s="283" customFormat="1" ht="15" outlineLevel="1">
      <c r="A171" s="504">
        <v>8</v>
      </c>
      <c r="B171" s="294" t="s">
        <v>485</v>
      </c>
      <c r="C171" s="291" t="s">
        <v>25</v>
      </c>
      <c r="D171" s="295"/>
      <c r="E171" s="295"/>
      <c r="F171" s="295"/>
      <c r="G171" s="295"/>
      <c r="H171" s="295"/>
      <c r="I171" s="295"/>
      <c r="J171" s="295"/>
      <c r="K171" s="295"/>
      <c r="L171" s="295"/>
      <c r="M171" s="295"/>
      <c r="N171" s="758"/>
      <c r="O171" s="295"/>
      <c r="P171" s="295"/>
      <c r="Q171" s="295"/>
      <c r="R171" s="295"/>
      <c r="S171" s="295"/>
      <c r="T171" s="295"/>
      <c r="U171" s="295"/>
      <c r="V171" s="295"/>
      <c r="W171" s="295"/>
      <c r="X171" s="295"/>
      <c r="Y171" s="772"/>
      <c r="Z171" s="772"/>
      <c r="AA171" s="772"/>
      <c r="AB171" s="409"/>
      <c r="AC171" s="409"/>
      <c r="AD171" s="409"/>
      <c r="AE171" s="409"/>
      <c r="AF171" s="409"/>
      <c r="AG171" s="409"/>
      <c r="AH171" s="409"/>
      <c r="AI171" s="409"/>
      <c r="AJ171" s="409"/>
      <c r="AK171" s="409"/>
      <c r="AL171" s="409"/>
      <c r="AM171" s="296">
        <f>SUM(Y171:AL171)</f>
        <v>0</v>
      </c>
    </row>
    <row r="172" spans="1:39" s="283" customFormat="1" ht="15" outlineLevel="1">
      <c r="A172" s="504"/>
      <c r="B172" s="294" t="s">
        <v>244</v>
      </c>
      <c r="C172" s="291" t="s">
        <v>163</v>
      </c>
      <c r="D172" s="295"/>
      <c r="E172" s="295"/>
      <c r="F172" s="295"/>
      <c r="G172" s="295"/>
      <c r="H172" s="295"/>
      <c r="I172" s="295"/>
      <c r="J172" s="295"/>
      <c r="K172" s="295"/>
      <c r="L172" s="295"/>
      <c r="M172" s="295"/>
      <c r="N172" s="758"/>
      <c r="O172" s="295"/>
      <c r="P172" s="295"/>
      <c r="Q172" s="295"/>
      <c r="R172" s="295"/>
      <c r="S172" s="295"/>
      <c r="T172" s="295"/>
      <c r="U172" s="295"/>
      <c r="V172" s="295"/>
      <c r="W172" s="295"/>
      <c r="X172" s="295"/>
      <c r="Y172" s="776">
        <f>Y171</f>
        <v>0</v>
      </c>
      <c r="Z172" s="776">
        <f>Z171</f>
        <v>0</v>
      </c>
      <c r="AA172" s="776">
        <f t="shared" ref="AA172" si="62">AA171</f>
        <v>0</v>
      </c>
      <c r="AB172" s="410">
        <f t="shared" ref="AB172:AL172" si="63">AB171</f>
        <v>0</v>
      </c>
      <c r="AC172" s="410">
        <f t="shared" si="63"/>
        <v>0</v>
      </c>
      <c r="AD172" s="410">
        <f t="shared" si="63"/>
        <v>0</v>
      </c>
      <c r="AE172" s="410">
        <f t="shared" si="63"/>
        <v>0</v>
      </c>
      <c r="AF172" s="410">
        <f t="shared" si="63"/>
        <v>0</v>
      </c>
      <c r="AG172" s="410">
        <f t="shared" si="63"/>
        <v>0</v>
      </c>
      <c r="AH172" s="410">
        <f t="shared" si="63"/>
        <v>0</v>
      </c>
      <c r="AI172" s="410">
        <f t="shared" si="63"/>
        <v>0</v>
      </c>
      <c r="AJ172" s="410">
        <f t="shared" si="63"/>
        <v>0</v>
      </c>
      <c r="AK172" s="410">
        <f t="shared" si="63"/>
        <v>0</v>
      </c>
      <c r="AL172" s="410">
        <f t="shared" si="63"/>
        <v>0</v>
      </c>
      <c r="AM172" s="500"/>
    </row>
    <row r="173" spans="1:39" s="283" customFormat="1" ht="15" outlineLevel="1">
      <c r="A173" s="504"/>
      <c r="B173" s="294"/>
      <c r="C173" s="305"/>
      <c r="D173" s="760"/>
      <c r="E173" s="760"/>
      <c r="F173" s="760"/>
      <c r="G173" s="760"/>
      <c r="H173" s="760"/>
      <c r="I173" s="760"/>
      <c r="J173" s="760"/>
      <c r="K173" s="760"/>
      <c r="L173" s="760"/>
      <c r="M173" s="760"/>
      <c r="N173" s="758"/>
      <c r="O173" s="760"/>
      <c r="P173" s="760"/>
      <c r="Q173" s="760"/>
      <c r="R173" s="760"/>
      <c r="S173" s="760"/>
      <c r="T173" s="760"/>
      <c r="U173" s="760"/>
      <c r="V173" s="760"/>
      <c r="W173" s="760"/>
      <c r="X173" s="760"/>
      <c r="Y173" s="777"/>
      <c r="Z173" s="777"/>
      <c r="AA173" s="777"/>
      <c r="AB173" s="411"/>
      <c r="AC173" s="411"/>
      <c r="AD173" s="411"/>
      <c r="AE173" s="411"/>
      <c r="AF173" s="411"/>
      <c r="AG173" s="411"/>
      <c r="AH173" s="411"/>
      <c r="AI173" s="411"/>
      <c r="AJ173" s="411"/>
      <c r="AK173" s="411"/>
      <c r="AL173" s="411"/>
      <c r="AM173" s="306"/>
    </row>
    <row r="174" spans="1:39" ht="15" outlineLevel="1">
      <c r="A174" s="504">
        <v>9</v>
      </c>
      <c r="B174" s="294" t="s">
        <v>7</v>
      </c>
      <c r="C174" s="291" t="s">
        <v>25</v>
      </c>
      <c r="D174" s="295"/>
      <c r="E174" s="295"/>
      <c r="F174" s="295"/>
      <c r="G174" s="295"/>
      <c r="H174" s="295"/>
      <c r="I174" s="295"/>
      <c r="J174" s="295"/>
      <c r="K174" s="295"/>
      <c r="L174" s="295"/>
      <c r="M174" s="295"/>
      <c r="N174" s="758"/>
      <c r="O174" s="295"/>
      <c r="P174" s="295"/>
      <c r="Q174" s="295"/>
      <c r="R174" s="295"/>
      <c r="S174" s="295"/>
      <c r="T174" s="295"/>
      <c r="U174" s="295"/>
      <c r="V174" s="295"/>
      <c r="W174" s="295"/>
      <c r="X174" s="295"/>
      <c r="Y174" s="772"/>
      <c r="Z174" s="772"/>
      <c r="AA174" s="772"/>
      <c r="AB174" s="409"/>
      <c r="AC174" s="409"/>
      <c r="AD174" s="409"/>
      <c r="AE174" s="409"/>
      <c r="AF174" s="409"/>
      <c r="AG174" s="409"/>
      <c r="AH174" s="409"/>
      <c r="AI174" s="409"/>
      <c r="AJ174" s="409"/>
      <c r="AK174" s="409"/>
      <c r="AL174" s="409"/>
      <c r="AM174" s="296">
        <f>SUM(Y174:AL174)</f>
        <v>0</v>
      </c>
    </row>
    <row r="175" spans="1:39" ht="15" outlineLevel="1">
      <c r="B175" s="294" t="s">
        <v>244</v>
      </c>
      <c r="C175" s="291" t="s">
        <v>163</v>
      </c>
      <c r="D175" s="295"/>
      <c r="E175" s="295"/>
      <c r="F175" s="295"/>
      <c r="G175" s="295"/>
      <c r="H175" s="295"/>
      <c r="I175" s="295"/>
      <c r="J175" s="295"/>
      <c r="K175" s="295"/>
      <c r="L175" s="295"/>
      <c r="M175" s="295"/>
      <c r="N175" s="758"/>
      <c r="O175" s="295"/>
      <c r="P175" s="295"/>
      <c r="Q175" s="295"/>
      <c r="R175" s="295"/>
      <c r="S175" s="295"/>
      <c r="T175" s="295"/>
      <c r="U175" s="295"/>
      <c r="V175" s="295"/>
      <c r="W175" s="295"/>
      <c r="X175" s="295"/>
      <c r="Y175" s="776">
        <f>Y174</f>
        <v>0</v>
      </c>
      <c r="Z175" s="776">
        <f>Z174</f>
        <v>0</v>
      </c>
      <c r="AA175" s="776">
        <f t="shared" ref="AA175" si="64">AA174</f>
        <v>0</v>
      </c>
      <c r="AB175" s="410">
        <f t="shared" ref="AB175:AL175" si="65">AB174</f>
        <v>0</v>
      </c>
      <c r="AC175" s="410">
        <f t="shared" si="65"/>
        <v>0</v>
      </c>
      <c r="AD175" s="410">
        <f t="shared" si="65"/>
        <v>0</v>
      </c>
      <c r="AE175" s="410">
        <f t="shared" si="65"/>
        <v>0</v>
      </c>
      <c r="AF175" s="410">
        <f t="shared" si="65"/>
        <v>0</v>
      </c>
      <c r="AG175" s="410">
        <f t="shared" si="65"/>
        <v>0</v>
      </c>
      <c r="AH175" s="410">
        <f t="shared" si="65"/>
        <v>0</v>
      </c>
      <c r="AI175" s="410">
        <f t="shared" si="65"/>
        <v>0</v>
      </c>
      <c r="AJ175" s="410">
        <f t="shared" si="65"/>
        <v>0</v>
      </c>
      <c r="AK175" s="410">
        <f t="shared" si="65"/>
        <v>0</v>
      </c>
      <c r="AL175" s="410">
        <f t="shared" si="65"/>
        <v>0</v>
      </c>
      <c r="AM175" s="500"/>
    </row>
    <row r="176" spans="1:39" ht="15" outlineLevel="1">
      <c r="B176" s="307"/>
      <c r="C176" s="308"/>
      <c r="D176" s="758"/>
      <c r="E176" s="758"/>
      <c r="F176" s="758"/>
      <c r="G176" s="758"/>
      <c r="H176" s="758"/>
      <c r="I176" s="758"/>
      <c r="J176" s="758"/>
      <c r="K176" s="758"/>
      <c r="L176" s="758"/>
      <c r="M176" s="758"/>
      <c r="N176" s="758"/>
      <c r="O176" s="758"/>
      <c r="P176" s="758"/>
      <c r="Q176" s="758"/>
      <c r="R176" s="758"/>
      <c r="S176" s="758"/>
      <c r="T176" s="758"/>
      <c r="U176" s="758"/>
      <c r="V176" s="758"/>
      <c r="W176" s="758"/>
      <c r="X176" s="758"/>
      <c r="Y176" s="777"/>
      <c r="Z176" s="777"/>
      <c r="AA176" s="777"/>
      <c r="AB176" s="411"/>
      <c r="AC176" s="411"/>
      <c r="AD176" s="411"/>
      <c r="AE176" s="411"/>
      <c r="AF176" s="411"/>
      <c r="AG176" s="411"/>
      <c r="AH176" s="411"/>
      <c r="AI176" s="411"/>
      <c r="AJ176" s="411"/>
      <c r="AK176" s="411"/>
      <c r="AL176" s="411"/>
      <c r="AM176" s="306"/>
    </row>
    <row r="177" spans="1:39" ht="15.75" outlineLevel="1">
      <c r="A177" s="505"/>
      <c r="B177" s="288" t="s">
        <v>8</v>
      </c>
      <c r="C177" s="289"/>
      <c r="D177" s="762"/>
      <c r="E177" s="762"/>
      <c r="F177" s="762"/>
      <c r="G177" s="762"/>
      <c r="H177" s="762"/>
      <c r="I177" s="762"/>
      <c r="J177" s="762"/>
      <c r="K177" s="762"/>
      <c r="L177" s="762"/>
      <c r="M177" s="762"/>
      <c r="N177" s="758"/>
      <c r="O177" s="762"/>
      <c r="P177" s="762"/>
      <c r="Q177" s="762"/>
      <c r="R177" s="762"/>
      <c r="S177" s="762"/>
      <c r="T177" s="762"/>
      <c r="U177" s="762"/>
      <c r="V177" s="762"/>
      <c r="W177" s="762"/>
      <c r="X177" s="762"/>
      <c r="Y177" s="811"/>
      <c r="Z177" s="811"/>
      <c r="AA177" s="811"/>
      <c r="AB177" s="413"/>
      <c r="AC177" s="413"/>
      <c r="AD177" s="413"/>
      <c r="AE177" s="413"/>
      <c r="AF177" s="413"/>
      <c r="AG177" s="413"/>
      <c r="AH177" s="413"/>
      <c r="AI177" s="413"/>
      <c r="AJ177" s="413"/>
      <c r="AK177" s="413"/>
      <c r="AL177" s="413"/>
      <c r="AM177" s="292"/>
    </row>
    <row r="178" spans="1:39" ht="15" outlineLevel="1">
      <c r="A178" s="504">
        <v>10</v>
      </c>
      <c r="B178" s="310" t="s">
        <v>22</v>
      </c>
      <c r="C178" s="291" t="s">
        <v>25</v>
      </c>
      <c r="D178" s="295">
        <f>+'7.  Persistence Report'!AR80</f>
        <v>3955522.4539747941</v>
      </c>
      <c r="E178" s="295">
        <f>+'7.  Persistence Report'!AS80</f>
        <v>3906020.377467047</v>
      </c>
      <c r="F178" s="295">
        <f>+'7.  Persistence Report'!AT80</f>
        <v>3836713.6198006715</v>
      </c>
      <c r="G178" s="295">
        <f>+'7.  Persistence Report'!AU80</f>
        <v>3642047.709898693</v>
      </c>
      <c r="H178" s="295">
        <f>+'7.  Persistence Report'!AV80</f>
        <v>3625019.5717908186</v>
      </c>
      <c r="I178" s="295">
        <f>+'7.  Persistence Report'!AW80</f>
        <v>3383172.1502834246</v>
      </c>
      <c r="J178" s="295">
        <f>+'7.  Persistence Report'!AX80</f>
        <v>3285011.9860413577</v>
      </c>
      <c r="K178" s="295">
        <f>+'7.  Persistence Report'!AY80</f>
        <v>3285011.9860413577</v>
      </c>
      <c r="L178" s="295">
        <f>+'7.  Persistence Report'!AZ80</f>
        <v>3186257.6752704401</v>
      </c>
      <c r="M178" s="295">
        <f>+'7.  Persistence Report'!BA80</f>
        <v>2174226.8036432718</v>
      </c>
      <c r="N178" s="295">
        <v>12</v>
      </c>
      <c r="O178" s="295">
        <f>+'7.  Persistence Report'!M80</f>
        <v>812.01873278296216</v>
      </c>
      <c r="P178" s="295">
        <f>+'7.  Persistence Report'!N80</f>
        <v>796.90707084674193</v>
      </c>
      <c r="Q178" s="295">
        <f>+'7.  Persistence Report'!O80</f>
        <v>775.74614546975033</v>
      </c>
      <c r="R178" s="295">
        <f>+'7.  Persistence Report'!P80</f>
        <v>716.08853425896268</v>
      </c>
      <c r="S178" s="295">
        <f>+'7.  Persistence Report'!Q80</f>
        <v>712.49985635278131</v>
      </c>
      <c r="T178" s="295">
        <f>+'7.  Persistence Report'!R80</f>
        <v>638.72812582759434</v>
      </c>
      <c r="U178" s="295">
        <f>+'7.  Persistence Report'!S80</f>
        <v>625.23596457304234</v>
      </c>
      <c r="V178" s="295">
        <f>+'7.  Persistence Report'!T80</f>
        <v>625.23596457304234</v>
      </c>
      <c r="W178" s="295">
        <f>+'7.  Persistence Report'!U80</f>
        <v>600.73358824837703</v>
      </c>
      <c r="X178" s="295">
        <f>+'7.  Persistence Report'!V80</f>
        <v>418.79344326388656</v>
      </c>
      <c r="Y178" s="821"/>
      <c r="Z178" s="822">
        <v>0.14199999999999999</v>
      </c>
      <c r="AA178" s="822">
        <v>0.85799999999999998</v>
      </c>
      <c r="AB178" s="414"/>
      <c r="AC178" s="414"/>
      <c r="AD178" s="414"/>
      <c r="AE178" s="414"/>
      <c r="AF178" s="414"/>
      <c r="AG178" s="414"/>
      <c r="AH178" s="414"/>
      <c r="AI178" s="414"/>
      <c r="AJ178" s="414"/>
      <c r="AK178" s="414"/>
      <c r="AL178" s="414"/>
      <c r="AM178" s="296">
        <f>SUM(Y178:AL178)</f>
        <v>1</v>
      </c>
    </row>
    <row r="179" spans="1:39" ht="15" outlineLevel="1">
      <c r="B179" s="294" t="s">
        <v>244</v>
      </c>
      <c r="C179" s="291" t="s">
        <v>163</v>
      </c>
      <c r="D179" s="295">
        <f>+'7.  Persistence Report'!AR95+'7.  Persistence Report'!AR100</f>
        <v>530105.52283725201</v>
      </c>
      <c r="E179" s="295">
        <f>+'7.  Persistence Report'!AS95+'7.  Persistence Report'!AS100</f>
        <v>530105.52283725201</v>
      </c>
      <c r="F179" s="295">
        <f>+'7.  Persistence Report'!AT95+'7.  Persistence Report'!AT100</f>
        <v>530105.52283725201</v>
      </c>
      <c r="G179" s="295">
        <f>+'7.  Persistence Report'!AU95+'7.  Persistence Report'!AU100</f>
        <v>530105.52283725201</v>
      </c>
      <c r="H179" s="295">
        <f>+'7.  Persistence Report'!AV95+'7.  Persistence Report'!AV100</f>
        <v>530105.52283725201</v>
      </c>
      <c r="I179" s="295">
        <f>+'7.  Persistence Report'!AW95+'7.  Persistence Report'!AW100</f>
        <v>511533.00185758097</v>
      </c>
      <c r="J179" s="295">
        <f>+'7.  Persistence Report'!AX95+'7.  Persistence Report'!AX100</f>
        <v>505519.65630365897</v>
      </c>
      <c r="K179" s="295">
        <f>+'7.  Persistence Report'!AY95+'7.  Persistence Report'!AY100</f>
        <v>505519.65630365897</v>
      </c>
      <c r="L179" s="295">
        <f>+'7.  Persistence Report'!AZ95+'7.  Persistence Report'!AZ100</f>
        <v>497852.44451818103</v>
      </c>
      <c r="M179" s="295">
        <f>+'7.  Persistence Report'!BA95+'7.  Persistence Report'!BA100</f>
        <v>459003.48479508399</v>
      </c>
      <c r="N179" s="295">
        <f>N178</f>
        <v>12</v>
      </c>
      <c r="O179" s="295">
        <f>+'7.  Persistence Report'!M95+'7.  Persistence Report'!M100</f>
        <v>97.870025886999997</v>
      </c>
      <c r="P179" s="295">
        <f>+'7.  Persistence Report'!N95+'7.  Persistence Report'!N100</f>
        <v>97.870025886999997</v>
      </c>
      <c r="Q179" s="295">
        <f>+'7.  Persistence Report'!O95+'7.  Persistence Report'!O100</f>
        <v>97.870025886999997</v>
      </c>
      <c r="R179" s="295">
        <f>+'7.  Persistence Report'!P95+'7.  Persistence Report'!P100</f>
        <v>97.870025886999997</v>
      </c>
      <c r="S179" s="295">
        <f>+'7.  Persistence Report'!Q95+'7.  Persistence Report'!Q100</f>
        <v>97.870025886999997</v>
      </c>
      <c r="T179" s="295">
        <f>+'7.  Persistence Report'!R95+'7.  Persistence Report'!R100</f>
        <v>92.729319669000006</v>
      </c>
      <c r="U179" s="295">
        <f>+'7.  Persistence Report'!S95+'7.  Persistence Report'!S100</f>
        <v>91.325623913000001</v>
      </c>
      <c r="V179" s="295">
        <f>+'7.  Persistence Report'!T95+'7.  Persistence Report'!T100</f>
        <v>91.325623913000001</v>
      </c>
      <c r="W179" s="295">
        <f>+'7.  Persistence Report'!U95+'7.  Persistence Report'!U100</f>
        <v>91.325623913000001</v>
      </c>
      <c r="X179" s="295">
        <f>+'7.  Persistence Report'!V95+'7.  Persistence Report'!V100</f>
        <v>82.937673769</v>
      </c>
      <c r="Y179" s="776">
        <f>Y178</f>
        <v>0</v>
      </c>
      <c r="Z179" s="776">
        <f>Z178</f>
        <v>0.14199999999999999</v>
      </c>
      <c r="AA179" s="776">
        <f t="shared" ref="AA179" si="66">AA178</f>
        <v>0.85799999999999998</v>
      </c>
      <c r="AB179" s="410">
        <f t="shared" ref="AB179:AL179" si="67">AB178</f>
        <v>0</v>
      </c>
      <c r="AC179" s="410">
        <f t="shared" si="67"/>
        <v>0</v>
      </c>
      <c r="AD179" s="410">
        <f t="shared" si="67"/>
        <v>0</v>
      </c>
      <c r="AE179" s="410">
        <f t="shared" si="67"/>
        <v>0</v>
      </c>
      <c r="AF179" s="410">
        <f t="shared" si="67"/>
        <v>0</v>
      </c>
      <c r="AG179" s="410">
        <f t="shared" si="67"/>
        <v>0</v>
      </c>
      <c r="AH179" s="410">
        <f t="shared" si="67"/>
        <v>0</v>
      </c>
      <c r="AI179" s="410">
        <f t="shared" si="67"/>
        <v>0</v>
      </c>
      <c r="AJ179" s="410">
        <f t="shared" si="67"/>
        <v>0</v>
      </c>
      <c r="AK179" s="410">
        <f t="shared" si="67"/>
        <v>0</v>
      </c>
      <c r="AL179" s="410">
        <f t="shared" si="67"/>
        <v>0</v>
      </c>
      <c r="AM179" s="500"/>
    </row>
    <row r="180" spans="1:39" ht="15" outlineLevel="1">
      <c r="B180" s="310"/>
      <c r="C180" s="312"/>
      <c r="D180" s="758"/>
      <c r="E180" s="758"/>
      <c r="F180" s="758"/>
      <c r="G180" s="758"/>
      <c r="H180" s="758"/>
      <c r="I180" s="758"/>
      <c r="J180" s="758"/>
      <c r="K180" s="758"/>
      <c r="L180" s="758"/>
      <c r="M180" s="758"/>
      <c r="N180" s="758"/>
      <c r="O180" s="758"/>
      <c r="P180" s="758"/>
      <c r="Q180" s="758"/>
      <c r="R180" s="758"/>
      <c r="S180" s="758"/>
      <c r="T180" s="758"/>
      <c r="U180" s="758"/>
      <c r="V180" s="758"/>
      <c r="W180" s="758"/>
      <c r="X180" s="758"/>
      <c r="Y180" s="812"/>
      <c r="Z180" s="812"/>
      <c r="AA180" s="812"/>
      <c r="AB180" s="415"/>
      <c r="AC180" s="415"/>
      <c r="AD180" s="415"/>
      <c r="AE180" s="415"/>
      <c r="AF180" s="415"/>
      <c r="AG180" s="415"/>
      <c r="AH180" s="415"/>
      <c r="AI180" s="415"/>
      <c r="AJ180" s="415"/>
      <c r="AK180" s="415"/>
      <c r="AL180" s="415"/>
      <c r="AM180" s="313"/>
    </row>
    <row r="181" spans="1:39" ht="15" outlineLevel="1">
      <c r="A181" s="504">
        <v>11</v>
      </c>
      <c r="B181" s="314" t="s">
        <v>21</v>
      </c>
      <c r="C181" s="291" t="s">
        <v>25</v>
      </c>
      <c r="D181" s="295">
        <f>+'7.  Persistence Report'!AR79</f>
        <v>624604.94967936329</v>
      </c>
      <c r="E181" s="295">
        <f>+'7.  Persistence Report'!AS79</f>
        <v>624604.9496793648</v>
      </c>
      <c r="F181" s="295">
        <f>+'7.  Persistence Report'!AT79</f>
        <v>618604.62193890836</v>
      </c>
      <c r="G181" s="295">
        <f>+'7.  Persistence Report'!AU79</f>
        <v>525579.28224435379</v>
      </c>
      <c r="H181" s="295">
        <f>+'7.  Persistence Report'!AV79</f>
        <v>525579.28224435379</v>
      </c>
      <c r="I181" s="295">
        <f>+'7.  Persistence Report'!AW79</f>
        <v>241678.70946222771</v>
      </c>
      <c r="J181" s="295">
        <f>+'7.  Persistence Report'!AX79</f>
        <v>241678.70946222771</v>
      </c>
      <c r="K181" s="295">
        <f>+'7.  Persistence Report'!AY79</f>
        <v>240633.98839516562</v>
      </c>
      <c r="L181" s="295">
        <f>+'7.  Persistence Report'!AZ79</f>
        <v>240633.98839516562</v>
      </c>
      <c r="M181" s="295">
        <f>+'7.  Persistence Report'!BA79</f>
        <v>240633.98839516562</v>
      </c>
      <c r="N181" s="295">
        <v>12</v>
      </c>
      <c r="O181" s="295">
        <f>+'7.  Persistence Report'!M79</f>
        <v>169.90588443678593</v>
      </c>
      <c r="P181" s="295">
        <f>+'7.  Persistence Report'!N79</f>
        <v>169.90588443678593</v>
      </c>
      <c r="Q181" s="295">
        <f>+'7.  Persistence Report'!O79</f>
        <v>168.23579086144412</v>
      </c>
      <c r="R181" s="295">
        <f>+'7.  Persistence Report'!P79</f>
        <v>145.88841920209796</v>
      </c>
      <c r="S181" s="295">
        <f>+'7.  Persistence Report'!Q79</f>
        <v>145.88841920209796</v>
      </c>
      <c r="T181" s="295">
        <f>+'7.  Persistence Report'!R79</f>
        <v>65.95487053880548</v>
      </c>
      <c r="U181" s="295">
        <f>+'7.  Persistence Report'!S79</f>
        <v>65.95487053880548</v>
      </c>
      <c r="V181" s="295">
        <f>+'7.  Persistence Report'!T79</f>
        <v>64.908706009594212</v>
      </c>
      <c r="W181" s="295">
        <f>+'7.  Persistence Report'!U79</f>
        <v>64.908706009594212</v>
      </c>
      <c r="X181" s="295">
        <f>+'7.  Persistence Report'!V79</f>
        <v>64.908706009594212</v>
      </c>
      <c r="Y181" s="773"/>
      <c r="Z181" s="822">
        <v>1</v>
      </c>
      <c r="AA181" s="822">
        <v>0</v>
      </c>
      <c r="AB181" s="414"/>
      <c r="AC181" s="414"/>
      <c r="AD181" s="414"/>
      <c r="AE181" s="414"/>
      <c r="AF181" s="414"/>
      <c r="AG181" s="414"/>
      <c r="AH181" s="414"/>
      <c r="AI181" s="414"/>
      <c r="AJ181" s="414"/>
      <c r="AK181" s="414"/>
      <c r="AL181" s="414"/>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76">
        <f>Y181</f>
        <v>0</v>
      </c>
      <c r="Z182" s="776">
        <f>Z181</f>
        <v>1</v>
      </c>
      <c r="AA182" s="776">
        <f t="shared" ref="AA182" si="68">AA181</f>
        <v>0</v>
      </c>
      <c r="AB182" s="410">
        <f t="shared" ref="AB182:AL182" si="69">AB181</f>
        <v>0</v>
      </c>
      <c r="AC182" s="410">
        <f t="shared" si="69"/>
        <v>0</v>
      </c>
      <c r="AD182" s="410">
        <f t="shared" si="69"/>
        <v>0</v>
      </c>
      <c r="AE182" s="410">
        <f t="shared" si="69"/>
        <v>0</v>
      </c>
      <c r="AF182" s="410">
        <f t="shared" si="69"/>
        <v>0</v>
      </c>
      <c r="AG182" s="410">
        <f t="shared" si="69"/>
        <v>0</v>
      </c>
      <c r="AH182" s="410">
        <f t="shared" si="69"/>
        <v>0</v>
      </c>
      <c r="AI182" s="410">
        <f t="shared" si="69"/>
        <v>0</v>
      </c>
      <c r="AJ182" s="410">
        <f t="shared" si="69"/>
        <v>0</v>
      </c>
      <c r="AK182" s="410">
        <f t="shared" si="69"/>
        <v>0</v>
      </c>
      <c r="AL182" s="410">
        <f t="shared" si="69"/>
        <v>0</v>
      </c>
      <c r="AM182" s="500"/>
    </row>
    <row r="183" spans="1:39" ht="15" outlineLevel="1">
      <c r="B183" s="314"/>
      <c r="C183" s="312"/>
      <c r="D183" s="758"/>
      <c r="E183" s="758"/>
      <c r="F183" s="758"/>
      <c r="G183" s="758"/>
      <c r="H183" s="758"/>
      <c r="I183" s="758"/>
      <c r="J183" s="758"/>
      <c r="K183" s="758"/>
      <c r="L183" s="758"/>
      <c r="M183" s="758"/>
      <c r="N183" s="758"/>
      <c r="O183" s="758"/>
      <c r="P183" s="758"/>
      <c r="Q183" s="758"/>
      <c r="R183" s="758"/>
      <c r="S183" s="758"/>
      <c r="T183" s="758"/>
      <c r="U183" s="758"/>
      <c r="V183" s="758"/>
      <c r="W183" s="758"/>
      <c r="X183" s="758"/>
      <c r="Y183" s="812"/>
      <c r="Z183" s="818"/>
      <c r="AA183" s="812"/>
      <c r="AB183" s="415"/>
      <c r="AC183" s="415"/>
      <c r="AD183" s="415"/>
      <c r="AE183" s="415"/>
      <c r="AF183" s="415"/>
      <c r="AG183" s="415"/>
      <c r="AH183" s="415"/>
      <c r="AI183" s="415"/>
      <c r="AJ183" s="415"/>
      <c r="AK183" s="415"/>
      <c r="AL183" s="415"/>
      <c r="AM183" s="313"/>
    </row>
    <row r="184" spans="1:39" ht="15" outlineLevel="1">
      <c r="A184" s="504">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773"/>
      <c r="Z184" s="773"/>
      <c r="AA184" s="773"/>
      <c r="AB184" s="414"/>
      <c r="AC184" s="414"/>
      <c r="AD184" s="414"/>
      <c r="AE184" s="414"/>
      <c r="AF184" s="414"/>
      <c r="AG184" s="414"/>
      <c r="AH184" s="414"/>
      <c r="AI184" s="414"/>
      <c r="AJ184" s="414"/>
      <c r="AK184" s="414"/>
      <c r="AL184" s="414"/>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76">
        <f>Y184</f>
        <v>0</v>
      </c>
      <c r="Z185" s="776">
        <f>Z184</f>
        <v>0</v>
      </c>
      <c r="AA185" s="776">
        <f t="shared" ref="AA185" si="70">AA184</f>
        <v>0</v>
      </c>
      <c r="AB185" s="410">
        <f t="shared" ref="AB185:AL185" si="71">AB184</f>
        <v>0</v>
      </c>
      <c r="AC185" s="410">
        <f t="shared" si="71"/>
        <v>0</v>
      </c>
      <c r="AD185" s="410">
        <f t="shared" si="71"/>
        <v>0</v>
      </c>
      <c r="AE185" s="410">
        <f t="shared" si="71"/>
        <v>0</v>
      </c>
      <c r="AF185" s="410">
        <f t="shared" si="71"/>
        <v>0</v>
      </c>
      <c r="AG185" s="410">
        <f t="shared" si="71"/>
        <v>0</v>
      </c>
      <c r="AH185" s="410">
        <f t="shared" si="71"/>
        <v>0</v>
      </c>
      <c r="AI185" s="410">
        <f t="shared" si="71"/>
        <v>0</v>
      </c>
      <c r="AJ185" s="410">
        <f t="shared" si="71"/>
        <v>0</v>
      </c>
      <c r="AK185" s="410">
        <f t="shared" si="71"/>
        <v>0</v>
      </c>
      <c r="AL185" s="410">
        <f t="shared" si="71"/>
        <v>0</v>
      </c>
      <c r="AM185" s="500"/>
    </row>
    <row r="186" spans="1:39" ht="15" outlineLevel="1">
      <c r="B186" s="314"/>
      <c r="C186" s="312"/>
      <c r="D186" s="764"/>
      <c r="E186" s="764"/>
      <c r="F186" s="764"/>
      <c r="G186" s="764"/>
      <c r="H186" s="764"/>
      <c r="I186" s="764"/>
      <c r="J186" s="764"/>
      <c r="K186" s="764"/>
      <c r="L186" s="764"/>
      <c r="M186" s="764"/>
      <c r="N186" s="758"/>
      <c r="O186" s="764"/>
      <c r="P186" s="764"/>
      <c r="Q186" s="764"/>
      <c r="R186" s="764"/>
      <c r="S186" s="764"/>
      <c r="T186" s="764"/>
      <c r="U186" s="764"/>
      <c r="V186" s="764"/>
      <c r="W186" s="764"/>
      <c r="X186" s="764"/>
      <c r="Y186" s="812"/>
      <c r="Z186" s="818"/>
      <c r="AA186" s="812"/>
      <c r="AB186" s="415"/>
      <c r="AC186" s="415"/>
      <c r="AD186" s="415"/>
      <c r="AE186" s="415"/>
      <c r="AF186" s="415"/>
      <c r="AG186" s="415"/>
      <c r="AH186" s="415"/>
      <c r="AI186" s="415"/>
      <c r="AJ186" s="415"/>
      <c r="AK186" s="415"/>
      <c r="AL186" s="415"/>
      <c r="AM186" s="313"/>
    </row>
    <row r="187" spans="1:39" ht="15" outlineLevel="1">
      <c r="A187" s="504">
        <v>13</v>
      </c>
      <c r="B187" s="314" t="s">
        <v>24</v>
      </c>
      <c r="C187" s="291" t="s">
        <v>25</v>
      </c>
      <c r="D187" s="295">
        <f>+'7.  Persistence Report'!AR82</f>
        <v>51506.35</v>
      </c>
      <c r="E187" s="295">
        <f>+'7.  Persistence Report'!AS82</f>
        <v>51506.35</v>
      </c>
      <c r="F187" s="295">
        <f>+'7.  Persistence Report'!AT82</f>
        <v>51506.35</v>
      </c>
      <c r="G187" s="295">
        <f>+'7.  Persistence Report'!AU82</f>
        <v>51506.35</v>
      </c>
      <c r="H187" s="295">
        <f>+'7.  Persistence Report'!AV82</f>
        <v>51506.35</v>
      </c>
      <c r="I187" s="295">
        <f>+'7.  Persistence Report'!AW82</f>
        <v>51506.35</v>
      </c>
      <c r="J187" s="295">
        <f>+'7.  Persistence Report'!AX82</f>
        <v>51506.35</v>
      </c>
      <c r="K187" s="295">
        <f>+'7.  Persistence Report'!AY82</f>
        <v>51506.35</v>
      </c>
      <c r="L187" s="295">
        <f>+'7.  Persistence Report'!AZ82</f>
        <v>51506.35</v>
      </c>
      <c r="M187" s="295">
        <f>+'7.  Persistence Report'!BA82</f>
        <v>51506.35</v>
      </c>
      <c r="N187" s="295">
        <v>12</v>
      </c>
      <c r="O187" s="295">
        <f>+'7.  Persistence Report'!M82</f>
        <v>29.89</v>
      </c>
      <c r="P187" s="295">
        <f>+'7.  Persistence Report'!N82</f>
        <v>29.89</v>
      </c>
      <c r="Q187" s="295">
        <f>+'7.  Persistence Report'!O82</f>
        <v>29.89</v>
      </c>
      <c r="R187" s="295">
        <f>+'7.  Persistence Report'!P82</f>
        <v>29.89</v>
      </c>
      <c r="S187" s="295">
        <f>+'7.  Persistence Report'!Q82</f>
        <v>29.89</v>
      </c>
      <c r="T187" s="295">
        <f>+'7.  Persistence Report'!R82</f>
        <v>29.89</v>
      </c>
      <c r="U187" s="295">
        <f>+'7.  Persistence Report'!S82</f>
        <v>29.89</v>
      </c>
      <c r="V187" s="295">
        <f>+'7.  Persistence Report'!T82</f>
        <v>29.89</v>
      </c>
      <c r="W187" s="295">
        <f>+'7.  Persistence Report'!U82</f>
        <v>29.89</v>
      </c>
      <c r="X187" s="295">
        <f>+'7.  Persistence Report'!V82</f>
        <v>29.89</v>
      </c>
      <c r="Y187" s="773"/>
      <c r="Z187" s="822">
        <v>1</v>
      </c>
      <c r="AA187" s="822">
        <v>0</v>
      </c>
      <c r="AB187" s="414"/>
      <c r="AC187" s="414"/>
      <c r="AD187" s="414"/>
      <c r="AE187" s="414"/>
      <c r="AF187" s="414"/>
      <c r="AG187" s="414"/>
      <c r="AH187" s="414"/>
      <c r="AI187" s="414"/>
      <c r="AJ187" s="414"/>
      <c r="AK187" s="414"/>
      <c r="AL187" s="414"/>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76">
        <f>Y187</f>
        <v>0</v>
      </c>
      <c r="Z188" s="776">
        <f>Z187</f>
        <v>1</v>
      </c>
      <c r="AA188" s="776">
        <f t="shared" ref="AA188" si="72">AA187</f>
        <v>0</v>
      </c>
      <c r="AB188" s="410">
        <f t="shared" ref="AB188:AL188" si="73">AB187</f>
        <v>0</v>
      </c>
      <c r="AC188" s="410">
        <f t="shared" si="73"/>
        <v>0</v>
      </c>
      <c r="AD188" s="410">
        <f t="shared" si="73"/>
        <v>0</v>
      </c>
      <c r="AE188" s="410">
        <f t="shared" si="73"/>
        <v>0</v>
      </c>
      <c r="AF188" s="410">
        <f t="shared" si="73"/>
        <v>0</v>
      </c>
      <c r="AG188" s="410">
        <f t="shared" si="73"/>
        <v>0</v>
      </c>
      <c r="AH188" s="410">
        <f t="shared" si="73"/>
        <v>0</v>
      </c>
      <c r="AI188" s="410">
        <f t="shared" si="73"/>
        <v>0</v>
      </c>
      <c r="AJ188" s="410">
        <f t="shared" si="73"/>
        <v>0</v>
      </c>
      <c r="AK188" s="410">
        <f t="shared" si="73"/>
        <v>0</v>
      </c>
      <c r="AL188" s="410">
        <f t="shared" si="73"/>
        <v>0</v>
      </c>
      <c r="AM188" s="500"/>
    </row>
    <row r="189" spans="1:39" ht="15" outlineLevel="1">
      <c r="B189" s="314"/>
      <c r="C189" s="312"/>
      <c r="D189" s="764"/>
      <c r="E189" s="764"/>
      <c r="F189" s="764"/>
      <c r="G189" s="764"/>
      <c r="H189" s="764"/>
      <c r="I189" s="764"/>
      <c r="J189" s="764"/>
      <c r="K189" s="764"/>
      <c r="L189" s="764"/>
      <c r="M189" s="764"/>
      <c r="N189" s="758"/>
      <c r="O189" s="764"/>
      <c r="P189" s="764"/>
      <c r="Q189" s="764"/>
      <c r="R189" s="764"/>
      <c r="S189" s="764"/>
      <c r="T189" s="764"/>
      <c r="U189" s="764"/>
      <c r="V189" s="764"/>
      <c r="W189" s="764"/>
      <c r="X189" s="764"/>
      <c r="Y189" s="812"/>
      <c r="Z189" s="812"/>
      <c r="AA189" s="812"/>
      <c r="AB189" s="415"/>
      <c r="AC189" s="415"/>
      <c r="AD189" s="415"/>
      <c r="AE189" s="415"/>
      <c r="AF189" s="415"/>
      <c r="AG189" s="415"/>
      <c r="AH189" s="415"/>
      <c r="AI189" s="415"/>
      <c r="AJ189" s="415"/>
      <c r="AK189" s="415"/>
      <c r="AL189" s="415"/>
      <c r="AM189" s="313"/>
    </row>
    <row r="190" spans="1:39" ht="15" outlineLevel="1">
      <c r="A190" s="504">
        <v>14</v>
      </c>
      <c r="B190" s="314" t="s">
        <v>20</v>
      </c>
      <c r="C190" s="291" t="s">
        <v>25</v>
      </c>
      <c r="D190" s="295">
        <f>+'7.  Persistence Report'!AR81+'7.  Persistence Report'!AR94</f>
        <v>125881.2723128153</v>
      </c>
      <c r="E190" s="295">
        <f>+'7.  Persistence Report'!AS81+'7.  Persistence Report'!AS94</f>
        <v>125881.2723128153</v>
      </c>
      <c r="F190" s="295">
        <f>+'7.  Persistence Report'!AT81+'7.  Persistence Report'!AT94</f>
        <v>125881.2723128153</v>
      </c>
      <c r="G190" s="295">
        <f>+'7.  Persistence Report'!AU81+'7.  Persistence Report'!AU94</f>
        <v>125881.2723128153</v>
      </c>
      <c r="H190" s="295">
        <f>+'7.  Persistence Report'!AV81+'7.  Persistence Report'!AV94</f>
        <v>0</v>
      </c>
      <c r="I190" s="295">
        <f>+'7.  Persistence Report'!AW81+'7.  Persistence Report'!AW94</f>
        <v>0</v>
      </c>
      <c r="J190" s="295">
        <f>+'7.  Persistence Report'!AX81+'7.  Persistence Report'!AX94</f>
        <v>0</v>
      </c>
      <c r="K190" s="295">
        <f>+'7.  Persistence Report'!AY81+'7.  Persistence Report'!AY94</f>
        <v>0</v>
      </c>
      <c r="L190" s="295">
        <f>+'7.  Persistence Report'!AZ81+'7.  Persistence Report'!AZ94</f>
        <v>0</v>
      </c>
      <c r="M190" s="295">
        <f>+'7.  Persistence Report'!BA81+'7.  Persistence Report'!BA94</f>
        <v>0</v>
      </c>
      <c r="N190" s="295">
        <v>12</v>
      </c>
      <c r="O190" s="295">
        <f>+'7.  Persistence Report'!M81+'7.  Persistence Report'!M94</f>
        <v>25.88587314825913</v>
      </c>
      <c r="P190" s="295">
        <f>+'7.  Persistence Report'!N81+'7.  Persistence Report'!N94</f>
        <v>25.88587314825913</v>
      </c>
      <c r="Q190" s="295">
        <f>+'7.  Persistence Report'!O81+'7.  Persistence Report'!O94</f>
        <v>25.88587314825913</v>
      </c>
      <c r="R190" s="295">
        <f>+'7.  Persistence Report'!P81+'7.  Persistence Report'!P94</f>
        <v>25.88587314825913</v>
      </c>
      <c r="S190" s="295">
        <f>+'7.  Persistence Report'!Q81+'7.  Persistence Report'!Q94</f>
        <v>0</v>
      </c>
      <c r="T190" s="295">
        <f>+'7.  Persistence Report'!R81+'7.  Persistence Report'!R94</f>
        <v>0</v>
      </c>
      <c r="U190" s="295">
        <f>+'7.  Persistence Report'!S81+'7.  Persistence Report'!S94</f>
        <v>0</v>
      </c>
      <c r="V190" s="295">
        <f>+'7.  Persistence Report'!T81+'7.  Persistence Report'!T94</f>
        <v>0</v>
      </c>
      <c r="W190" s="295">
        <f>+'7.  Persistence Report'!U81+'7.  Persistence Report'!U94</f>
        <v>0</v>
      </c>
      <c r="X190" s="295">
        <f>+'7.  Persistence Report'!V81+'7.  Persistence Report'!V94</f>
        <v>0</v>
      </c>
      <c r="Y190" s="773"/>
      <c r="Z190" s="822">
        <v>1</v>
      </c>
      <c r="AA190" s="822">
        <v>0</v>
      </c>
      <c r="AB190" s="414"/>
      <c r="AC190" s="414"/>
      <c r="AD190" s="414"/>
      <c r="AE190" s="414"/>
      <c r="AF190" s="414"/>
      <c r="AG190" s="414"/>
      <c r="AH190" s="414"/>
      <c r="AI190" s="414"/>
      <c r="AJ190" s="414"/>
      <c r="AK190" s="414"/>
      <c r="AL190" s="414"/>
      <c r="AM190" s="296">
        <f>SUM(Y190:AL190)</f>
        <v>1</v>
      </c>
    </row>
    <row r="191" spans="1:39" ht="15" outlineLevel="1">
      <c r="B191" s="294" t="s">
        <v>244</v>
      </c>
      <c r="C191" s="291" t="s">
        <v>163</v>
      </c>
      <c r="D191" s="295">
        <f>+'7.  Persistence Report'!AR98+'7.  Persistence Report'!AR99</f>
        <v>4270.2988137000002</v>
      </c>
      <c r="E191" s="295">
        <f>+'7.  Persistence Report'!AS98+'7.  Persistence Report'!AS99</f>
        <v>4270.2988137000002</v>
      </c>
      <c r="F191" s="295">
        <f>+'7.  Persistence Report'!AT98+'7.  Persistence Report'!AT99</f>
        <v>4270.2988137000002</v>
      </c>
      <c r="G191" s="295">
        <f>+'7.  Persistence Report'!AU98+'7.  Persistence Report'!AU99</f>
        <v>4270.2988137000002</v>
      </c>
      <c r="H191" s="295">
        <f>+'7.  Persistence Report'!AV98+'7.  Persistence Report'!AV99</f>
        <v>0</v>
      </c>
      <c r="I191" s="295">
        <f>+'7.  Persistence Report'!AW98+'7.  Persistence Report'!AW99</f>
        <v>0</v>
      </c>
      <c r="J191" s="295">
        <f>+'7.  Persistence Report'!AX98+'7.  Persistence Report'!AX99</f>
        <v>0</v>
      </c>
      <c r="K191" s="295">
        <f>+'7.  Persistence Report'!AY98+'7.  Persistence Report'!AY99</f>
        <v>0</v>
      </c>
      <c r="L191" s="295">
        <f>+'7.  Persistence Report'!AZ98+'7.  Persistence Report'!AZ99</f>
        <v>0</v>
      </c>
      <c r="M191" s="295">
        <f>+'7.  Persistence Report'!BA98+'7.  Persistence Report'!BA99</f>
        <v>0</v>
      </c>
      <c r="N191" s="295">
        <f>N190</f>
        <v>12</v>
      </c>
      <c r="O191" s="295">
        <f>+'7.  Persistence Report'!M98+'7.  Persistence Report'!M99</f>
        <v>0.86233136300000002</v>
      </c>
      <c r="P191" s="295">
        <f>+'7.  Persistence Report'!N98+'7.  Persistence Report'!N99</f>
        <v>0.86233136300000002</v>
      </c>
      <c r="Q191" s="295">
        <f>+'7.  Persistence Report'!O98+'7.  Persistence Report'!O99</f>
        <v>0.86233136300000002</v>
      </c>
      <c r="R191" s="295">
        <f>+'7.  Persistence Report'!P98+'7.  Persistence Report'!P99</f>
        <v>0.86233136300000002</v>
      </c>
      <c r="S191" s="295">
        <f>+'7.  Persistence Report'!Q98+'7.  Persistence Report'!Q99</f>
        <v>0</v>
      </c>
      <c r="T191" s="295">
        <f>+'7.  Persistence Report'!R98+'7.  Persistence Report'!R99</f>
        <v>0</v>
      </c>
      <c r="U191" s="295">
        <f>+'7.  Persistence Report'!S98+'7.  Persistence Report'!S99</f>
        <v>0</v>
      </c>
      <c r="V191" s="295">
        <f>+'7.  Persistence Report'!T98+'7.  Persistence Report'!T99</f>
        <v>0</v>
      </c>
      <c r="W191" s="295">
        <f>+'7.  Persistence Report'!U98+'7.  Persistence Report'!U99</f>
        <v>0</v>
      </c>
      <c r="X191" s="295">
        <f>+'7.  Persistence Report'!V98+'7.  Persistence Report'!V99</f>
        <v>0</v>
      </c>
      <c r="Y191" s="776">
        <f>Y190</f>
        <v>0</v>
      </c>
      <c r="Z191" s="776">
        <f>Z190</f>
        <v>1</v>
      </c>
      <c r="AA191" s="776">
        <f t="shared" ref="AA191" si="74">AA190</f>
        <v>0</v>
      </c>
      <c r="AB191" s="410">
        <f t="shared" ref="AB191:AL191" si="75">AB190</f>
        <v>0</v>
      </c>
      <c r="AC191" s="410">
        <f t="shared" si="75"/>
        <v>0</v>
      </c>
      <c r="AD191" s="410">
        <f t="shared" si="75"/>
        <v>0</v>
      </c>
      <c r="AE191" s="410">
        <f t="shared" si="75"/>
        <v>0</v>
      </c>
      <c r="AF191" s="410">
        <f t="shared" si="75"/>
        <v>0</v>
      </c>
      <c r="AG191" s="410">
        <f t="shared" si="75"/>
        <v>0</v>
      </c>
      <c r="AH191" s="410">
        <f t="shared" si="75"/>
        <v>0</v>
      </c>
      <c r="AI191" s="410">
        <f t="shared" si="75"/>
        <v>0</v>
      </c>
      <c r="AJ191" s="410">
        <f t="shared" si="75"/>
        <v>0</v>
      </c>
      <c r="AK191" s="410">
        <f t="shared" si="75"/>
        <v>0</v>
      </c>
      <c r="AL191" s="410">
        <f t="shared" si="75"/>
        <v>0</v>
      </c>
      <c r="AM191" s="500"/>
    </row>
    <row r="192" spans="1:39" ht="15" outlineLevel="1">
      <c r="B192" s="314"/>
      <c r="C192" s="312"/>
      <c r="D192" s="764"/>
      <c r="E192" s="764"/>
      <c r="F192" s="764"/>
      <c r="G192" s="764"/>
      <c r="H192" s="764"/>
      <c r="I192" s="764"/>
      <c r="J192" s="764"/>
      <c r="K192" s="764"/>
      <c r="L192" s="764"/>
      <c r="M192" s="764"/>
      <c r="N192" s="758"/>
      <c r="O192" s="764"/>
      <c r="P192" s="764"/>
      <c r="Q192" s="764"/>
      <c r="R192" s="764"/>
      <c r="S192" s="764"/>
      <c r="T192" s="764"/>
      <c r="U192" s="764"/>
      <c r="V192" s="764"/>
      <c r="W192" s="764"/>
      <c r="X192" s="764"/>
      <c r="Y192" s="812"/>
      <c r="Z192" s="818"/>
      <c r="AA192" s="812"/>
      <c r="AB192" s="415"/>
      <c r="AC192" s="415"/>
      <c r="AD192" s="415"/>
      <c r="AE192" s="415"/>
      <c r="AF192" s="415"/>
      <c r="AG192" s="415"/>
      <c r="AH192" s="415"/>
      <c r="AI192" s="415"/>
      <c r="AJ192" s="415"/>
      <c r="AK192" s="415"/>
      <c r="AL192" s="415"/>
      <c r="AM192" s="313"/>
    </row>
    <row r="193" spans="1:39" s="283" customFormat="1" ht="15" outlineLevel="1">
      <c r="A193" s="504">
        <v>15</v>
      </c>
      <c r="B193" s="314" t="s">
        <v>486</v>
      </c>
      <c r="C193" s="291" t="s">
        <v>25</v>
      </c>
      <c r="D193" s="295"/>
      <c r="E193" s="295"/>
      <c r="F193" s="295"/>
      <c r="G193" s="295"/>
      <c r="H193" s="295"/>
      <c r="I193" s="295"/>
      <c r="J193" s="295"/>
      <c r="K193" s="295"/>
      <c r="L193" s="295"/>
      <c r="M193" s="295"/>
      <c r="N193" s="758"/>
      <c r="O193" s="295"/>
      <c r="P193" s="295"/>
      <c r="Q193" s="295"/>
      <c r="R193" s="295"/>
      <c r="S193" s="295"/>
      <c r="T193" s="295"/>
      <c r="U193" s="295"/>
      <c r="V193" s="295"/>
      <c r="W193" s="295"/>
      <c r="X193" s="295"/>
      <c r="Y193" s="773"/>
      <c r="Z193" s="773"/>
      <c r="AA193" s="773"/>
      <c r="AB193" s="414"/>
      <c r="AC193" s="414"/>
      <c r="AD193" s="414"/>
      <c r="AE193" s="414"/>
      <c r="AF193" s="414"/>
      <c r="AG193" s="414"/>
      <c r="AH193" s="414"/>
      <c r="AI193" s="414"/>
      <c r="AJ193" s="414"/>
      <c r="AK193" s="414"/>
      <c r="AL193" s="414"/>
      <c r="AM193" s="296">
        <f>SUM(Y193:AL193)</f>
        <v>0</v>
      </c>
    </row>
    <row r="194" spans="1:39" s="283" customFormat="1" ht="15" outlineLevel="1">
      <c r="A194" s="504"/>
      <c r="B194" s="315" t="s">
        <v>244</v>
      </c>
      <c r="C194" s="291" t="s">
        <v>163</v>
      </c>
      <c r="D194" s="295"/>
      <c r="E194" s="295"/>
      <c r="F194" s="295"/>
      <c r="G194" s="295"/>
      <c r="H194" s="295"/>
      <c r="I194" s="295"/>
      <c r="J194" s="295"/>
      <c r="K194" s="295"/>
      <c r="L194" s="295"/>
      <c r="M194" s="295"/>
      <c r="N194" s="758"/>
      <c r="O194" s="295"/>
      <c r="P194" s="295"/>
      <c r="Q194" s="295"/>
      <c r="R194" s="295"/>
      <c r="S194" s="295"/>
      <c r="T194" s="295"/>
      <c r="U194" s="295"/>
      <c r="V194" s="295"/>
      <c r="W194" s="295"/>
      <c r="X194" s="295"/>
      <c r="Y194" s="776">
        <f>Y193</f>
        <v>0</v>
      </c>
      <c r="Z194" s="776">
        <f>Z193</f>
        <v>0</v>
      </c>
      <c r="AA194" s="776">
        <f t="shared" ref="AA194" si="76">AA193</f>
        <v>0</v>
      </c>
      <c r="AB194" s="410">
        <f t="shared" ref="AB194:AL194" si="77">AB193</f>
        <v>0</v>
      </c>
      <c r="AC194" s="410">
        <f t="shared" si="77"/>
        <v>0</v>
      </c>
      <c r="AD194" s="410">
        <f t="shared" si="77"/>
        <v>0</v>
      </c>
      <c r="AE194" s="410">
        <f t="shared" si="77"/>
        <v>0</v>
      </c>
      <c r="AF194" s="410">
        <f t="shared" si="77"/>
        <v>0</v>
      </c>
      <c r="AG194" s="410">
        <f t="shared" si="77"/>
        <v>0</v>
      </c>
      <c r="AH194" s="410">
        <f t="shared" si="77"/>
        <v>0</v>
      </c>
      <c r="AI194" s="410">
        <f t="shared" si="77"/>
        <v>0</v>
      </c>
      <c r="AJ194" s="410">
        <f t="shared" si="77"/>
        <v>0</v>
      </c>
      <c r="AK194" s="410">
        <f t="shared" si="77"/>
        <v>0</v>
      </c>
      <c r="AL194" s="410">
        <f t="shared" si="77"/>
        <v>0</v>
      </c>
      <c r="AM194" s="500"/>
    </row>
    <row r="195" spans="1:39" s="283" customFormat="1" ht="15" outlineLevel="1">
      <c r="A195" s="504"/>
      <c r="B195" s="314"/>
      <c r="C195" s="312"/>
      <c r="D195" s="764"/>
      <c r="E195" s="764"/>
      <c r="F195" s="764"/>
      <c r="G195" s="764"/>
      <c r="H195" s="764"/>
      <c r="I195" s="764"/>
      <c r="J195" s="764"/>
      <c r="K195" s="764"/>
      <c r="L195" s="764"/>
      <c r="M195" s="764"/>
      <c r="N195" s="758"/>
      <c r="O195" s="764"/>
      <c r="P195" s="764"/>
      <c r="Q195" s="764"/>
      <c r="R195" s="764"/>
      <c r="S195" s="764"/>
      <c r="T195" s="764"/>
      <c r="U195" s="764"/>
      <c r="V195" s="764"/>
      <c r="W195" s="764"/>
      <c r="X195" s="764"/>
      <c r="Y195" s="813"/>
      <c r="Z195" s="812"/>
      <c r="AA195" s="812"/>
      <c r="AB195" s="415"/>
      <c r="AC195" s="415"/>
      <c r="AD195" s="415"/>
      <c r="AE195" s="415"/>
      <c r="AF195" s="415"/>
      <c r="AG195" s="415"/>
      <c r="AH195" s="415"/>
      <c r="AI195" s="415"/>
      <c r="AJ195" s="415"/>
      <c r="AK195" s="415"/>
      <c r="AL195" s="415"/>
      <c r="AM195" s="313"/>
    </row>
    <row r="196" spans="1:39" s="283" customFormat="1" ht="30" outlineLevel="1">
      <c r="A196" s="504">
        <v>16</v>
      </c>
      <c r="B196" s="314" t="s">
        <v>487</v>
      </c>
      <c r="C196" s="291" t="s">
        <v>25</v>
      </c>
      <c r="D196" s="295"/>
      <c r="E196" s="295"/>
      <c r="F196" s="295"/>
      <c r="G196" s="295"/>
      <c r="H196" s="295"/>
      <c r="I196" s="295"/>
      <c r="J196" s="295"/>
      <c r="K196" s="295"/>
      <c r="L196" s="295"/>
      <c r="M196" s="295"/>
      <c r="N196" s="758"/>
      <c r="O196" s="295"/>
      <c r="P196" s="295"/>
      <c r="Q196" s="295"/>
      <c r="R196" s="295"/>
      <c r="S196" s="295"/>
      <c r="T196" s="295"/>
      <c r="U196" s="295"/>
      <c r="V196" s="295"/>
      <c r="W196" s="295"/>
      <c r="X196" s="295"/>
      <c r="Y196" s="773"/>
      <c r="Z196" s="773"/>
      <c r="AA196" s="773"/>
      <c r="AB196" s="414"/>
      <c r="AC196" s="414"/>
      <c r="AD196" s="414"/>
      <c r="AE196" s="414"/>
      <c r="AF196" s="414"/>
      <c r="AG196" s="414"/>
      <c r="AH196" s="414"/>
      <c r="AI196" s="414"/>
      <c r="AJ196" s="414"/>
      <c r="AK196" s="414"/>
      <c r="AL196" s="414"/>
      <c r="AM196" s="296">
        <f>SUM(Y196:AL196)</f>
        <v>0</v>
      </c>
    </row>
    <row r="197" spans="1:39" s="283" customFormat="1" ht="15" outlineLevel="1">
      <c r="A197" s="504"/>
      <c r="B197" s="315" t="s">
        <v>244</v>
      </c>
      <c r="C197" s="291" t="s">
        <v>163</v>
      </c>
      <c r="D197" s="295"/>
      <c r="E197" s="295"/>
      <c r="F197" s="295"/>
      <c r="G197" s="295"/>
      <c r="H197" s="295"/>
      <c r="I197" s="295"/>
      <c r="J197" s="295"/>
      <c r="K197" s="295"/>
      <c r="L197" s="295"/>
      <c r="M197" s="295"/>
      <c r="N197" s="758"/>
      <c r="O197" s="295"/>
      <c r="P197" s="295"/>
      <c r="Q197" s="295"/>
      <c r="R197" s="295"/>
      <c r="S197" s="295"/>
      <c r="T197" s="295"/>
      <c r="U197" s="295"/>
      <c r="V197" s="295"/>
      <c r="W197" s="295"/>
      <c r="X197" s="295"/>
      <c r="Y197" s="776">
        <f>Y196</f>
        <v>0</v>
      </c>
      <c r="Z197" s="776">
        <f>Z196</f>
        <v>0</v>
      </c>
      <c r="AA197" s="776">
        <f t="shared" ref="AA197" si="78">AA196</f>
        <v>0</v>
      </c>
      <c r="AB197" s="410">
        <f t="shared" ref="AB197:AL197" si="79">AB196</f>
        <v>0</v>
      </c>
      <c r="AC197" s="410">
        <f t="shared" si="79"/>
        <v>0</v>
      </c>
      <c r="AD197" s="410">
        <f t="shared" si="79"/>
        <v>0</v>
      </c>
      <c r="AE197" s="410">
        <f t="shared" si="79"/>
        <v>0</v>
      </c>
      <c r="AF197" s="410">
        <f t="shared" si="79"/>
        <v>0</v>
      </c>
      <c r="AG197" s="410">
        <f t="shared" si="79"/>
        <v>0</v>
      </c>
      <c r="AH197" s="410">
        <f t="shared" si="79"/>
        <v>0</v>
      </c>
      <c r="AI197" s="410">
        <f t="shared" si="79"/>
        <v>0</v>
      </c>
      <c r="AJ197" s="410">
        <f t="shared" si="79"/>
        <v>0</v>
      </c>
      <c r="AK197" s="410">
        <f t="shared" si="79"/>
        <v>0</v>
      </c>
      <c r="AL197" s="410">
        <f t="shared" si="79"/>
        <v>0</v>
      </c>
      <c r="AM197" s="500"/>
    </row>
    <row r="198" spans="1:39" s="283" customFormat="1" ht="15" outlineLevel="1">
      <c r="A198" s="504"/>
      <c r="B198" s="314"/>
      <c r="C198" s="312"/>
      <c r="D198" s="764"/>
      <c r="E198" s="764"/>
      <c r="F198" s="764"/>
      <c r="G198" s="764"/>
      <c r="H198" s="764"/>
      <c r="I198" s="764"/>
      <c r="J198" s="764"/>
      <c r="K198" s="764"/>
      <c r="L198" s="764"/>
      <c r="M198" s="764"/>
      <c r="N198" s="758"/>
      <c r="O198" s="764"/>
      <c r="P198" s="764"/>
      <c r="Q198" s="764"/>
      <c r="R198" s="764"/>
      <c r="S198" s="764"/>
      <c r="T198" s="764"/>
      <c r="U198" s="764"/>
      <c r="V198" s="764"/>
      <c r="W198" s="764"/>
      <c r="X198" s="764"/>
      <c r="Y198" s="813"/>
      <c r="Z198" s="812"/>
      <c r="AA198" s="812"/>
      <c r="AB198" s="415"/>
      <c r="AC198" s="415"/>
      <c r="AD198" s="415"/>
      <c r="AE198" s="415"/>
      <c r="AF198" s="415"/>
      <c r="AG198" s="415"/>
      <c r="AH198" s="415"/>
      <c r="AI198" s="415"/>
      <c r="AJ198" s="415"/>
      <c r="AK198" s="415"/>
      <c r="AL198" s="415"/>
      <c r="AM198" s="313"/>
    </row>
    <row r="199" spans="1:39" ht="15" outlineLevel="1">
      <c r="A199" s="504">
        <v>17</v>
      </c>
      <c r="B199" s="314" t="s">
        <v>9</v>
      </c>
      <c r="C199" s="291" t="s">
        <v>25</v>
      </c>
      <c r="D199" s="295">
        <f>+'7.  Persistence Report'!AR91+'7.  Persistence Report'!AR93</f>
        <v>11731.581</v>
      </c>
      <c r="E199" s="295">
        <f>+'7.  Persistence Report'!AS91+'7.  Persistence Report'!AS93</f>
        <v>0</v>
      </c>
      <c r="F199" s="295">
        <f>+'7.  Persistence Report'!AT91+'7.  Persistence Report'!AT93</f>
        <v>0</v>
      </c>
      <c r="G199" s="295">
        <f>+'7.  Persistence Report'!AU91+'7.  Persistence Report'!AU93</f>
        <v>0</v>
      </c>
      <c r="H199" s="295">
        <f>+'7.  Persistence Report'!AV91+'7.  Persistence Report'!AV93</f>
        <v>0</v>
      </c>
      <c r="I199" s="295">
        <f>+'7.  Persistence Report'!AW91+'7.  Persistence Report'!AW93</f>
        <v>0</v>
      </c>
      <c r="J199" s="295">
        <f>+'7.  Persistence Report'!AX91+'7.  Persistence Report'!AX93</f>
        <v>0</v>
      </c>
      <c r="K199" s="295">
        <f>+'7.  Persistence Report'!AY91+'7.  Persistence Report'!AY93</f>
        <v>0</v>
      </c>
      <c r="L199" s="295">
        <f>+'7.  Persistence Report'!AZ91+'7.  Persistence Report'!AZ93</f>
        <v>0</v>
      </c>
      <c r="M199" s="295">
        <f>+'7.  Persistence Report'!BA91+'7.  Persistence Report'!BA93</f>
        <v>0</v>
      </c>
      <c r="N199" s="758"/>
      <c r="O199" s="295">
        <f>+'7.  Persistence Report'!M91+'7.  Persistence Report'!M93</f>
        <v>807.10853550000002</v>
      </c>
      <c r="P199" s="295">
        <f>+'7.  Persistence Report'!N91+'7.  Persistence Report'!N93</f>
        <v>0</v>
      </c>
      <c r="Q199" s="295">
        <f>+'7.  Persistence Report'!O91+'7.  Persistence Report'!O93</f>
        <v>0</v>
      </c>
      <c r="R199" s="295">
        <f>+'7.  Persistence Report'!P91+'7.  Persistence Report'!P93</f>
        <v>0</v>
      </c>
      <c r="S199" s="295">
        <f>+'7.  Persistence Report'!Q91+'7.  Persistence Report'!Q93</f>
        <v>0</v>
      </c>
      <c r="T199" s="295">
        <f>+'7.  Persistence Report'!R91+'7.  Persistence Report'!R93</f>
        <v>0</v>
      </c>
      <c r="U199" s="295">
        <f>+'7.  Persistence Report'!S91+'7.  Persistence Report'!S93</f>
        <v>0</v>
      </c>
      <c r="V199" s="295">
        <f>+'7.  Persistence Report'!T91+'7.  Persistence Report'!T93</f>
        <v>0</v>
      </c>
      <c r="W199" s="295">
        <f>+'7.  Persistence Report'!U91+'7.  Persistence Report'!U93</f>
        <v>0</v>
      </c>
      <c r="X199" s="295">
        <f>+'7.  Persistence Report'!V91+'7.  Persistence Report'!V93</f>
        <v>0</v>
      </c>
      <c r="Y199" s="773"/>
      <c r="Z199" s="822">
        <v>1</v>
      </c>
      <c r="AA199" s="822">
        <v>0</v>
      </c>
      <c r="AB199" s="414"/>
      <c r="AC199" s="414"/>
      <c r="AD199" s="414"/>
      <c r="AE199" s="414"/>
      <c r="AF199" s="414"/>
      <c r="AG199" s="414"/>
      <c r="AH199" s="414"/>
      <c r="AI199" s="414"/>
      <c r="AJ199" s="414"/>
      <c r="AK199" s="414"/>
      <c r="AL199" s="414"/>
      <c r="AM199" s="296">
        <f>SUM(Y199:AL199)</f>
        <v>1</v>
      </c>
    </row>
    <row r="200" spans="1:39" ht="15" outlineLevel="1">
      <c r="B200" s="294" t="s">
        <v>244</v>
      </c>
      <c r="C200" s="291" t="s">
        <v>163</v>
      </c>
      <c r="D200" s="295"/>
      <c r="E200" s="295"/>
      <c r="F200" s="295"/>
      <c r="G200" s="295"/>
      <c r="H200" s="295"/>
      <c r="I200" s="295"/>
      <c r="J200" s="295"/>
      <c r="K200" s="295"/>
      <c r="L200" s="295"/>
      <c r="M200" s="295"/>
      <c r="N200" s="758"/>
      <c r="O200" s="295"/>
      <c r="P200" s="295"/>
      <c r="Q200" s="295"/>
      <c r="R200" s="295"/>
      <c r="S200" s="295"/>
      <c r="T200" s="295"/>
      <c r="U200" s="295"/>
      <c r="V200" s="295"/>
      <c r="W200" s="295"/>
      <c r="X200" s="295"/>
      <c r="Y200" s="776">
        <f>Y199</f>
        <v>0</v>
      </c>
      <c r="Z200" s="776">
        <f>Z199</f>
        <v>1</v>
      </c>
      <c r="AA200" s="776">
        <f t="shared" ref="AA200" si="80">AA199</f>
        <v>0</v>
      </c>
      <c r="AB200" s="410">
        <f t="shared" ref="AB200:AL200" si="81">AB199</f>
        <v>0</v>
      </c>
      <c r="AC200" s="410">
        <f t="shared" si="81"/>
        <v>0</v>
      </c>
      <c r="AD200" s="410">
        <f t="shared" si="81"/>
        <v>0</v>
      </c>
      <c r="AE200" s="410">
        <f t="shared" si="81"/>
        <v>0</v>
      </c>
      <c r="AF200" s="410">
        <f t="shared" si="81"/>
        <v>0</v>
      </c>
      <c r="AG200" s="410">
        <f t="shared" si="81"/>
        <v>0</v>
      </c>
      <c r="AH200" s="410">
        <f t="shared" si="81"/>
        <v>0</v>
      </c>
      <c r="AI200" s="410">
        <f t="shared" si="81"/>
        <v>0</v>
      </c>
      <c r="AJ200" s="410">
        <f t="shared" si="81"/>
        <v>0</v>
      </c>
      <c r="AK200" s="410">
        <f t="shared" si="81"/>
        <v>0</v>
      </c>
      <c r="AL200" s="410">
        <f t="shared" si="81"/>
        <v>0</v>
      </c>
      <c r="AM200" s="500"/>
    </row>
    <row r="201" spans="1:39" ht="15" outlineLevel="1">
      <c r="B201" s="315"/>
      <c r="C201" s="305"/>
      <c r="D201" s="758"/>
      <c r="E201" s="758"/>
      <c r="F201" s="758"/>
      <c r="G201" s="758"/>
      <c r="H201" s="758"/>
      <c r="I201" s="758"/>
      <c r="J201" s="758"/>
      <c r="K201" s="758"/>
      <c r="L201" s="758"/>
      <c r="M201" s="758"/>
      <c r="N201" s="758"/>
      <c r="O201" s="758"/>
      <c r="P201" s="758"/>
      <c r="Q201" s="758"/>
      <c r="R201" s="758"/>
      <c r="S201" s="758"/>
      <c r="T201" s="758"/>
      <c r="U201" s="758"/>
      <c r="V201" s="758"/>
      <c r="W201" s="758"/>
      <c r="X201" s="758"/>
      <c r="Y201" s="814"/>
      <c r="Z201" s="823"/>
      <c r="AA201" s="823"/>
      <c r="AB201" s="417"/>
      <c r="AC201" s="417"/>
      <c r="AD201" s="417"/>
      <c r="AE201" s="417"/>
      <c r="AF201" s="417"/>
      <c r="AG201" s="417"/>
      <c r="AH201" s="417"/>
      <c r="AI201" s="417"/>
      <c r="AJ201" s="417"/>
      <c r="AK201" s="417"/>
      <c r="AL201" s="417"/>
      <c r="AM201" s="317"/>
    </row>
    <row r="202" spans="1:39" ht="15.75" outlineLevel="1">
      <c r="A202" s="505"/>
      <c r="B202" s="288" t="s">
        <v>10</v>
      </c>
      <c r="C202" s="289"/>
      <c r="D202" s="762"/>
      <c r="E202" s="762"/>
      <c r="F202" s="762"/>
      <c r="G202" s="762"/>
      <c r="H202" s="762"/>
      <c r="I202" s="762"/>
      <c r="J202" s="762"/>
      <c r="K202" s="762"/>
      <c r="L202" s="762"/>
      <c r="M202" s="762"/>
      <c r="N202" s="763"/>
      <c r="O202" s="762"/>
      <c r="P202" s="762"/>
      <c r="Q202" s="762"/>
      <c r="R202" s="762"/>
      <c r="S202" s="762"/>
      <c r="T202" s="762"/>
      <c r="U202" s="762"/>
      <c r="V202" s="762"/>
      <c r="W202" s="762"/>
      <c r="X202" s="762"/>
      <c r="Y202" s="811"/>
      <c r="Z202" s="811"/>
      <c r="AA202" s="811"/>
      <c r="AB202" s="413"/>
      <c r="AC202" s="413"/>
      <c r="AD202" s="413"/>
      <c r="AE202" s="413"/>
      <c r="AF202" s="413"/>
      <c r="AG202" s="413"/>
      <c r="AH202" s="413"/>
      <c r="AI202" s="413"/>
      <c r="AJ202" s="413"/>
      <c r="AK202" s="413"/>
      <c r="AL202" s="413"/>
      <c r="AM202" s="292"/>
    </row>
    <row r="203" spans="1:39" ht="15" outlineLevel="1">
      <c r="A203" s="504">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71"/>
      <c r="Z203" s="773"/>
      <c r="AA203" s="773"/>
      <c r="AB203" s="414"/>
      <c r="AC203" s="414"/>
      <c r="AD203" s="414"/>
      <c r="AE203" s="414"/>
      <c r="AF203" s="414"/>
      <c r="AG203" s="414"/>
      <c r="AH203" s="414"/>
      <c r="AI203" s="414"/>
      <c r="AJ203" s="414"/>
      <c r="AK203" s="414"/>
      <c r="AL203" s="414"/>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76">
        <f>Y203</f>
        <v>0</v>
      </c>
      <c r="Z204" s="776">
        <f>Z203</f>
        <v>0</v>
      </c>
      <c r="AA204" s="776">
        <f t="shared" ref="AA204" si="82">AA203</f>
        <v>0</v>
      </c>
      <c r="AB204" s="410">
        <f t="shared" ref="AB204:AL204" si="83">AB203</f>
        <v>0</v>
      </c>
      <c r="AC204" s="410">
        <f t="shared" si="83"/>
        <v>0</v>
      </c>
      <c r="AD204" s="410">
        <f t="shared" si="83"/>
        <v>0</v>
      </c>
      <c r="AE204" s="410">
        <f t="shared" si="83"/>
        <v>0</v>
      </c>
      <c r="AF204" s="410">
        <f t="shared" si="83"/>
        <v>0</v>
      </c>
      <c r="AG204" s="410">
        <f t="shared" si="83"/>
        <v>0</v>
      </c>
      <c r="AH204" s="410">
        <f t="shared" si="83"/>
        <v>0</v>
      </c>
      <c r="AI204" s="410">
        <f t="shared" si="83"/>
        <v>0</v>
      </c>
      <c r="AJ204" s="410">
        <f t="shared" si="83"/>
        <v>0</v>
      </c>
      <c r="AK204" s="410">
        <f t="shared" si="83"/>
        <v>0</v>
      </c>
      <c r="AL204" s="410">
        <f t="shared" si="83"/>
        <v>0</v>
      </c>
      <c r="AM204" s="500"/>
    </row>
    <row r="205" spans="1:39" ht="15" outlineLevel="1">
      <c r="A205" s="507"/>
      <c r="B205" s="315"/>
      <c r="C205" s="305"/>
      <c r="D205" s="758"/>
      <c r="E205" s="758"/>
      <c r="F205" s="758"/>
      <c r="G205" s="758"/>
      <c r="H205" s="758"/>
      <c r="I205" s="758"/>
      <c r="J205" s="758"/>
      <c r="K205" s="758"/>
      <c r="L205" s="758"/>
      <c r="M205" s="758"/>
      <c r="N205" s="758"/>
      <c r="O205" s="758"/>
      <c r="P205" s="758"/>
      <c r="Q205" s="758"/>
      <c r="R205" s="758"/>
      <c r="S205" s="758"/>
      <c r="T205" s="758"/>
      <c r="U205" s="758"/>
      <c r="V205" s="758"/>
      <c r="W205" s="758"/>
      <c r="X205" s="758"/>
      <c r="Y205" s="777"/>
      <c r="Z205" s="824"/>
      <c r="AA205" s="824"/>
      <c r="AB205" s="418"/>
      <c r="AC205" s="418"/>
      <c r="AD205" s="418"/>
      <c r="AE205" s="418"/>
      <c r="AF205" s="418"/>
      <c r="AG205" s="418"/>
      <c r="AH205" s="418"/>
      <c r="AI205" s="418"/>
      <c r="AJ205" s="418"/>
      <c r="AK205" s="418"/>
      <c r="AL205" s="418"/>
      <c r="AM205" s="306"/>
    </row>
    <row r="206" spans="1:39" ht="15" outlineLevel="1">
      <c r="A206" s="504">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72"/>
      <c r="Z206" s="773"/>
      <c r="AA206" s="773"/>
      <c r="AB206" s="414"/>
      <c r="AC206" s="414"/>
      <c r="AD206" s="414"/>
      <c r="AE206" s="414"/>
      <c r="AF206" s="414"/>
      <c r="AG206" s="414"/>
      <c r="AH206" s="414"/>
      <c r="AI206" s="414"/>
      <c r="AJ206" s="414"/>
      <c r="AK206" s="414"/>
      <c r="AL206" s="414"/>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76">
        <f>Y206</f>
        <v>0</v>
      </c>
      <c r="Z207" s="776">
        <f>Z206</f>
        <v>0</v>
      </c>
      <c r="AA207" s="776">
        <f t="shared" ref="AA207" si="84">AA206</f>
        <v>0</v>
      </c>
      <c r="AB207" s="410">
        <f t="shared" ref="AB207:AL207" si="85">AB206</f>
        <v>0</v>
      </c>
      <c r="AC207" s="410">
        <f t="shared" si="85"/>
        <v>0</v>
      </c>
      <c r="AD207" s="410">
        <f t="shared" si="85"/>
        <v>0</v>
      </c>
      <c r="AE207" s="410">
        <f t="shared" si="85"/>
        <v>0</v>
      </c>
      <c r="AF207" s="410">
        <f t="shared" si="85"/>
        <v>0</v>
      </c>
      <c r="AG207" s="410">
        <f t="shared" si="85"/>
        <v>0</v>
      </c>
      <c r="AH207" s="410">
        <f t="shared" si="85"/>
        <v>0</v>
      </c>
      <c r="AI207" s="410">
        <f t="shared" si="85"/>
        <v>0</v>
      </c>
      <c r="AJ207" s="410">
        <f t="shared" si="85"/>
        <v>0</v>
      </c>
      <c r="AK207" s="410">
        <f t="shared" si="85"/>
        <v>0</v>
      </c>
      <c r="AL207" s="410">
        <f t="shared" si="85"/>
        <v>0</v>
      </c>
      <c r="AM207" s="500"/>
    </row>
    <row r="208" spans="1:39" ht="15" outlineLevel="1">
      <c r="B208" s="315"/>
      <c r="C208" s="305"/>
      <c r="D208" s="758"/>
      <c r="E208" s="758"/>
      <c r="F208" s="758"/>
      <c r="G208" s="758"/>
      <c r="H208" s="758"/>
      <c r="I208" s="758"/>
      <c r="J208" s="758"/>
      <c r="K208" s="758"/>
      <c r="L208" s="758"/>
      <c r="M208" s="758"/>
      <c r="N208" s="758"/>
      <c r="O208" s="758"/>
      <c r="P208" s="758"/>
      <c r="Q208" s="758"/>
      <c r="R208" s="758"/>
      <c r="S208" s="758"/>
      <c r="T208" s="758"/>
      <c r="U208" s="758"/>
      <c r="V208" s="758"/>
      <c r="W208" s="758"/>
      <c r="X208" s="758"/>
      <c r="Y208" s="815"/>
      <c r="Z208" s="815"/>
      <c r="AA208" s="777"/>
      <c r="AB208" s="411"/>
      <c r="AC208" s="411"/>
      <c r="AD208" s="411"/>
      <c r="AE208" s="411"/>
      <c r="AF208" s="411"/>
      <c r="AG208" s="411"/>
      <c r="AH208" s="411"/>
      <c r="AI208" s="411"/>
      <c r="AJ208" s="411"/>
      <c r="AK208" s="411"/>
      <c r="AL208" s="411"/>
      <c r="AM208" s="306"/>
    </row>
    <row r="209" spans="1:39" ht="15" outlineLevel="1">
      <c r="A209" s="504">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772"/>
      <c r="Z209" s="773"/>
      <c r="AA209" s="773"/>
      <c r="AB209" s="414"/>
      <c r="AC209" s="414"/>
      <c r="AD209" s="414"/>
      <c r="AE209" s="414"/>
      <c r="AF209" s="414"/>
      <c r="AG209" s="414"/>
      <c r="AH209" s="414"/>
      <c r="AI209" s="414"/>
      <c r="AJ209" s="414"/>
      <c r="AK209" s="414"/>
      <c r="AL209" s="414"/>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76">
        <f>Y209</f>
        <v>0</v>
      </c>
      <c r="Z210" s="776">
        <f>Z209</f>
        <v>0</v>
      </c>
      <c r="AA210" s="776">
        <f t="shared" ref="AA210" si="86">AA209</f>
        <v>0</v>
      </c>
      <c r="AB210" s="410">
        <f t="shared" ref="AB210:AL210" si="87">AB209</f>
        <v>0</v>
      </c>
      <c r="AC210" s="410">
        <f t="shared" si="87"/>
        <v>0</v>
      </c>
      <c r="AD210" s="410">
        <f t="shared" si="87"/>
        <v>0</v>
      </c>
      <c r="AE210" s="410">
        <f t="shared" si="87"/>
        <v>0</v>
      </c>
      <c r="AF210" s="410">
        <f t="shared" si="87"/>
        <v>0</v>
      </c>
      <c r="AG210" s="410">
        <f t="shared" si="87"/>
        <v>0</v>
      </c>
      <c r="AH210" s="410">
        <f t="shared" si="87"/>
        <v>0</v>
      </c>
      <c r="AI210" s="410">
        <f t="shared" si="87"/>
        <v>0</v>
      </c>
      <c r="AJ210" s="410">
        <f t="shared" si="87"/>
        <v>0</v>
      </c>
      <c r="AK210" s="410">
        <f t="shared" si="87"/>
        <v>0</v>
      </c>
      <c r="AL210" s="410">
        <f t="shared" si="87"/>
        <v>0</v>
      </c>
      <c r="AM210" s="500"/>
    </row>
    <row r="211" spans="1:39" ht="15" outlineLevel="1">
      <c r="B211" s="315"/>
      <c r="C211" s="305"/>
      <c r="D211" s="758"/>
      <c r="E211" s="758"/>
      <c r="F211" s="758"/>
      <c r="G211" s="758"/>
      <c r="H211" s="758"/>
      <c r="I211" s="758"/>
      <c r="J211" s="758"/>
      <c r="K211" s="758"/>
      <c r="L211" s="758"/>
      <c r="M211" s="758"/>
      <c r="N211" s="816"/>
      <c r="O211" s="758"/>
      <c r="P211" s="758"/>
      <c r="Q211" s="758"/>
      <c r="R211" s="758"/>
      <c r="S211" s="758"/>
      <c r="T211" s="758"/>
      <c r="U211" s="758"/>
      <c r="V211" s="758"/>
      <c r="W211" s="758"/>
      <c r="X211" s="758"/>
      <c r="Y211" s="777"/>
      <c r="Z211" s="777"/>
      <c r="AA211" s="777"/>
      <c r="AB211" s="411"/>
      <c r="AC211" s="411"/>
      <c r="AD211" s="411"/>
      <c r="AE211" s="411"/>
      <c r="AF211" s="411"/>
      <c r="AG211" s="411"/>
      <c r="AH211" s="411"/>
      <c r="AI211" s="411"/>
      <c r="AJ211" s="411"/>
      <c r="AK211" s="411"/>
      <c r="AL211" s="411"/>
      <c r="AM211" s="306"/>
    </row>
    <row r="212" spans="1:39" ht="15" outlineLevel="1">
      <c r="A212" s="504">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72"/>
      <c r="Z212" s="773"/>
      <c r="AA212" s="773"/>
      <c r="AB212" s="414"/>
      <c r="AC212" s="414"/>
      <c r="AD212" s="414"/>
      <c r="AE212" s="414"/>
      <c r="AF212" s="414"/>
      <c r="AG212" s="414"/>
      <c r="AH212" s="414"/>
      <c r="AI212" s="414"/>
      <c r="AJ212" s="414"/>
      <c r="AK212" s="414"/>
      <c r="AL212" s="414"/>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76">
        <f>Y212</f>
        <v>0</v>
      </c>
      <c r="Z213" s="776">
        <f>Z212</f>
        <v>0</v>
      </c>
      <c r="AA213" s="776">
        <f t="shared" ref="AA213" si="88">AA212</f>
        <v>0</v>
      </c>
      <c r="AB213" s="410">
        <f t="shared" ref="AB213:AL213" si="89">AB212</f>
        <v>0</v>
      </c>
      <c r="AC213" s="410">
        <f t="shared" si="89"/>
        <v>0</v>
      </c>
      <c r="AD213" s="410">
        <f t="shared" si="89"/>
        <v>0</v>
      </c>
      <c r="AE213" s="410">
        <f t="shared" si="89"/>
        <v>0</v>
      </c>
      <c r="AF213" s="410">
        <f t="shared" si="89"/>
        <v>0</v>
      </c>
      <c r="AG213" s="410">
        <f t="shared" si="89"/>
        <v>0</v>
      </c>
      <c r="AH213" s="410">
        <f t="shared" si="89"/>
        <v>0</v>
      </c>
      <c r="AI213" s="410">
        <f t="shared" si="89"/>
        <v>0</v>
      </c>
      <c r="AJ213" s="410">
        <f t="shared" si="89"/>
        <v>0</v>
      </c>
      <c r="AK213" s="410">
        <f t="shared" si="89"/>
        <v>0</v>
      </c>
      <c r="AL213" s="410">
        <f t="shared" si="89"/>
        <v>0</v>
      </c>
      <c r="AM213" s="500"/>
    </row>
    <row r="214" spans="1:39" ht="15" outlineLevel="1">
      <c r="B214" s="315"/>
      <c r="C214" s="305"/>
      <c r="D214" s="758"/>
      <c r="E214" s="758"/>
      <c r="F214" s="758"/>
      <c r="G214" s="758"/>
      <c r="H214" s="758"/>
      <c r="I214" s="758"/>
      <c r="J214" s="758"/>
      <c r="K214" s="758"/>
      <c r="L214" s="758"/>
      <c r="M214" s="758"/>
      <c r="N214" s="758"/>
      <c r="O214" s="758"/>
      <c r="P214" s="758"/>
      <c r="Q214" s="758"/>
      <c r="R214" s="758"/>
      <c r="S214" s="758"/>
      <c r="T214" s="758"/>
      <c r="U214" s="758"/>
      <c r="V214" s="758"/>
      <c r="W214" s="758"/>
      <c r="X214" s="758"/>
      <c r="Y214" s="815"/>
      <c r="Z214" s="777"/>
      <c r="AA214" s="777"/>
      <c r="AB214" s="411"/>
      <c r="AC214" s="411"/>
      <c r="AD214" s="411"/>
      <c r="AE214" s="411"/>
      <c r="AF214" s="411"/>
      <c r="AG214" s="411"/>
      <c r="AH214" s="411"/>
      <c r="AI214" s="411"/>
      <c r="AJ214" s="411"/>
      <c r="AK214" s="411"/>
      <c r="AL214" s="411"/>
      <c r="AM214" s="306"/>
    </row>
    <row r="215" spans="1:39" ht="15" outlineLevel="1">
      <c r="A215" s="504">
        <v>22</v>
      </c>
      <c r="B215" s="315" t="s">
        <v>9</v>
      </c>
      <c r="C215" s="291" t="s">
        <v>25</v>
      </c>
      <c r="D215" s="295">
        <f>+'7.  Persistence Report'!AR89+'7.  Persistence Report'!AR92</f>
        <v>133262.21</v>
      </c>
      <c r="E215" s="295">
        <f>+'7.  Persistence Report'!AS89+'7.  Persistence Report'!AS92</f>
        <v>0</v>
      </c>
      <c r="F215" s="295">
        <f>+'7.  Persistence Report'!AT89+'7.  Persistence Report'!AT92</f>
        <v>0</v>
      </c>
      <c r="G215" s="295">
        <f>+'7.  Persistence Report'!AU89+'7.  Persistence Report'!AU92</f>
        <v>0</v>
      </c>
      <c r="H215" s="295">
        <f>+'7.  Persistence Report'!AV89+'7.  Persistence Report'!AV92</f>
        <v>0</v>
      </c>
      <c r="I215" s="295">
        <f>+'7.  Persistence Report'!AW89+'7.  Persistence Report'!AW92</f>
        <v>0</v>
      </c>
      <c r="J215" s="295">
        <f>+'7.  Persistence Report'!AX89+'7.  Persistence Report'!AX92</f>
        <v>0</v>
      </c>
      <c r="K215" s="295">
        <f>+'7.  Persistence Report'!AY89+'7.  Persistence Report'!AY92</f>
        <v>0</v>
      </c>
      <c r="L215" s="295">
        <f>+'7.  Persistence Report'!AZ89+'7.  Persistence Report'!AZ92</f>
        <v>0</v>
      </c>
      <c r="M215" s="295">
        <f>+'7.  Persistence Report'!BA89+'7.  Persistence Report'!BA92</f>
        <v>0</v>
      </c>
      <c r="N215" s="758"/>
      <c r="O215" s="295">
        <f>+'7.  Persistence Report'!M89+'7.  Persistence Report'!M92</f>
        <v>5529.6510405999998</v>
      </c>
      <c r="P215" s="295">
        <f>+'7.  Persistence Report'!N89+'7.  Persistence Report'!N92</f>
        <v>0</v>
      </c>
      <c r="Q215" s="295">
        <f>+'7.  Persistence Report'!O89+'7.  Persistence Report'!O92</f>
        <v>0</v>
      </c>
      <c r="R215" s="295">
        <f>+'7.  Persistence Report'!P89+'7.  Persistence Report'!P92</f>
        <v>0</v>
      </c>
      <c r="S215" s="295">
        <f>+'7.  Persistence Report'!Q89+'7.  Persistence Report'!Q92</f>
        <v>0</v>
      </c>
      <c r="T215" s="295">
        <f>+'7.  Persistence Report'!R89+'7.  Persistence Report'!R92</f>
        <v>0</v>
      </c>
      <c r="U215" s="295">
        <f>+'7.  Persistence Report'!S89+'7.  Persistence Report'!S92</f>
        <v>0</v>
      </c>
      <c r="V215" s="295">
        <f>+'7.  Persistence Report'!T89+'7.  Persistence Report'!T92</f>
        <v>0</v>
      </c>
      <c r="W215" s="295">
        <f>+'7.  Persistence Report'!U89+'7.  Persistence Report'!U92</f>
        <v>0</v>
      </c>
      <c r="X215" s="295">
        <f>+'7.  Persistence Report'!V89+'7.  Persistence Report'!V92</f>
        <v>0</v>
      </c>
      <c r="Y215" s="772"/>
      <c r="Z215" s="773">
        <v>1</v>
      </c>
      <c r="AA215" s="773"/>
      <c r="AB215" s="414"/>
      <c r="AC215" s="414"/>
      <c r="AD215" s="414"/>
      <c r="AE215" s="414"/>
      <c r="AF215" s="414"/>
      <c r="AG215" s="414"/>
      <c r="AH215" s="414"/>
      <c r="AI215" s="414"/>
      <c r="AJ215" s="414"/>
      <c r="AK215" s="414"/>
      <c r="AL215" s="414"/>
      <c r="AM215" s="296">
        <f>SUM(Y215:AL215)</f>
        <v>1</v>
      </c>
    </row>
    <row r="216" spans="1:39" ht="15" outlineLevel="1">
      <c r="B216" s="294" t="s">
        <v>244</v>
      </c>
      <c r="C216" s="291" t="s">
        <v>163</v>
      </c>
      <c r="D216" s="295"/>
      <c r="E216" s="295"/>
      <c r="F216" s="295"/>
      <c r="G216" s="295"/>
      <c r="H216" s="295"/>
      <c r="I216" s="295"/>
      <c r="J216" s="295"/>
      <c r="K216" s="295"/>
      <c r="L216" s="295"/>
      <c r="M216" s="295"/>
      <c r="N216" s="758"/>
      <c r="O216" s="295"/>
      <c r="P216" s="295"/>
      <c r="Q216" s="295"/>
      <c r="R216" s="295"/>
      <c r="S216" s="295"/>
      <c r="T216" s="295"/>
      <c r="U216" s="295"/>
      <c r="V216" s="295"/>
      <c r="W216" s="295"/>
      <c r="X216" s="295"/>
      <c r="Y216" s="776">
        <f>Y215</f>
        <v>0</v>
      </c>
      <c r="Z216" s="776">
        <f>Z215</f>
        <v>1</v>
      </c>
      <c r="AA216" s="776">
        <f t="shared" ref="AA216" si="90">AA215</f>
        <v>0</v>
      </c>
      <c r="AB216" s="410">
        <f t="shared" ref="AB216:AL216" si="91">AB215</f>
        <v>0</v>
      </c>
      <c r="AC216" s="410">
        <f t="shared" si="91"/>
        <v>0</v>
      </c>
      <c r="AD216" s="410">
        <f t="shared" si="91"/>
        <v>0</v>
      </c>
      <c r="AE216" s="410">
        <f t="shared" si="91"/>
        <v>0</v>
      </c>
      <c r="AF216" s="410">
        <f t="shared" si="91"/>
        <v>0</v>
      </c>
      <c r="AG216" s="410">
        <f t="shared" si="91"/>
        <v>0</v>
      </c>
      <c r="AH216" s="410">
        <f t="shared" si="91"/>
        <v>0</v>
      </c>
      <c r="AI216" s="410">
        <f t="shared" si="91"/>
        <v>0</v>
      </c>
      <c r="AJ216" s="410">
        <f t="shared" si="91"/>
        <v>0</v>
      </c>
      <c r="AK216" s="410">
        <f t="shared" si="91"/>
        <v>0</v>
      </c>
      <c r="AL216" s="410">
        <f t="shared" si="91"/>
        <v>0</v>
      </c>
      <c r="AM216" s="500"/>
    </row>
    <row r="217" spans="1:39" ht="15" outlineLevel="1">
      <c r="B217" s="315"/>
      <c r="C217" s="305"/>
      <c r="D217" s="758"/>
      <c r="E217" s="758"/>
      <c r="F217" s="758"/>
      <c r="G217" s="758"/>
      <c r="H217" s="758"/>
      <c r="I217" s="758"/>
      <c r="J217" s="758"/>
      <c r="K217" s="758"/>
      <c r="L217" s="758"/>
      <c r="M217" s="758"/>
      <c r="N217" s="758"/>
      <c r="O217" s="758"/>
      <c r="P217" s="758"/>
      <c r="Q217" s="758"/>
      <c r="R217" s="758"/>
      <c r="S217" s="758"/>
      <c r="T217" s="758"/>
      <c r="U217" s="758"/>
      <c r="V217" s="758"/>
      <c r="W217" s="758"/>
      <c r="X217" s="758"/>
      <c r="Y217" s="777"/>
      <c r="Z217" s="777"/>
      <c r="AA217" s="777"/>
      <c r="AB217" s="411"/>
      <c r="AC217" s="411"/>
      <c r="AD217" s="411"/>
      <c r="AE217" s="411"/>
      <c r="AF217" s="411"/>
      <c r="AG217" s="411"/>
      <c r="AH217" s="411"/>
      <c r="AI217" s="411"/>
      <c r="AJ217" s="411"/>
      <c r="AK217" s="411"/>
      <c r="AL217" s="411"/>
      <c r="AM217" s="306"/>
    </row>
    <row r="218" spans="1:39" ht="15.75" outlineLevel="1">
      <c r="A218" s="505"/>
      <c r="B218" s="288" t="s">
        <v>14</v>
      </c>
      <c r="C218" s="289"/>
      <c r="D218" s="763"/>
      <c r="E218" s="763"/>
      <c r="F218" s="763"/>
      <c r="G218" s="763"/>
      <c r="H218" s="763"/>
      <c r="I218" s="763"/>
      <c r="J218" s="763"/>
      <c r="K218" s="763"/>
      <c r="L218" s="763"/>
      <c r="M218" s="763"/>
      <c r="N218" s="763"/>
      <c r="O218" s="763"/>
      <c r="P218" s="762"/>
      <c r="Q218" s="762"/>
      <c r="R218" s="762"/>
      <c r="S218" s="762"/>
      <c r="T218" s="762"/>
      <c r="U218" s="762"/>
      <c r="V218" s="762"/>
      <c r="W218" s="762"/>
      <c r="X218" s="762"/>
      <c r="Y218" s="811"/>
      <c r="Z218" s="811"/>
      <c r="AA218" s="811"/>
      <c r="AB218" s="413"/>
      <c r="AC218" s="413"/>
      <c r="AD218" s="413"/>
      <c r="AE218" s="413"/>
      <c r="AF218" s="413"/>
      <c r="AG218" s="413"/>
      <c r="AH218" s="413"/>
      <c r="AI218" s="413"/>
      <c r="AJ218" s="413"/>
      <c r="AK218" s="413"/>
      <c r="AL218" s="413"/>
      <c r="AM218" s="292"/>
    </row>
    <row r="219" spans="1:39" ht="15" outlineLevel="1">
      <c r="A219" s="504">
        <v>23</v>
      </c>
      <c r="B219" s="315" t="s">
        <v>14</v>
      </c>
      <c r="C219" s="291" t="s">
        <v>25</v>
      </c>
      <c r="D219" s="295">
        <f>+'7.  Persistence Report'!AR88</f>
        <v>171520.23348999023</v>
      </c>
      <c r="E219" s="295">
        <f>+'7.  Persistence Report'!AS88</f>
        <v>171520.2336730957</v>
      </c>
      <c r="F219" s="295">
        <f>+'7.  Persistence Report'!AT88</f>
        <v>171520.2336730957</v>
      </c>
      <c r="G219" s="295">
        <f>+'7.  Persistence Report'!AU88</f>
        <v>139356.23348999023</v>
      </c>
      <c r="H219" s="295">
        <f>+'7.  Persistence Report'!AV88</f>
        <v>137494.23348999021</v>
      </c>
      <c r="I219" s="295">
        <f>+'7.  Persistence Report'!AW88</f>
        <v>137494.23348999021</v>
      </c>
      <c r="J219" s="295">
        <f>+'7.  Persistence Report'!AX88</f>
        <v>128900.84866333006</v>
      </c>
      <c r="K219" s="295">
        <f>+'7.  Persistence Report'!AY88</f>
        <v>126162.0346221924</v>
      </c>
      <c r="L219" s="295">
        <f>+'7.  Persistence Report'!AZ88</f>
        <v>40090.03462219239</v>
      </c>
      <c r="M219" s="295">
        <f>+'7.  Persistence Report'!BA88</f>
        <v>39538.034622192383</v>
      </c>
      <c r="N219" s="758"/>
      <c r="O219" s="295">
        <f>+'7.  Persistence Report'!M88</f>
        <v>13.649534726515402</v>
      </c>
      <c r="P219" s="295">
        <f>+'7.  Persistence Report'!N88</f>
        <v>11.97873433842323</v>
      </c>
      <c r="Q219" s="295">
        <f>+'7.  Persistence Report'!O88</f>
        <v>11.97873433842323</v>
      </c>
      <c r="R219" s="295">
        <f>+'7.  Persistence Report'!P88</f>
        <v>11.97873433842323</v>
      </c>
      <c r="S219" s="295">
        <f>+'7.  Persistence Report'!Q88</f>
        <v>11.942008313490069</v>
      </c>
      <c r="T219" s="295">
        <f>+'7.  Persistence Report'!R88</f>
        <v>11.942008313490069</v>
      </c>
      <c r="U219" s="295">
        <f>+'7.  Persistence Report'!S88</f>
        <v>11.495613875566047</v>
      </c>
      <c r="V219" s="295">
        <f>+'7.  Persistence Report'!T88</f>
        <v>11.495613875566047</v>
      </c>
      <c r="W219" s="295">
        <f>+'7.  Persistence Report'!U88</f>
        <v>7.0244930419139493</v>
      </c>
      <c r="X219" s="295">
        <f>+'7.  Persistence Report'!V88</f>
        <v>6.4334477218799222</v>
      </c>
      <c r="Y219" s="825">
        <v>1</v>
      </c>
      <c r="Z219" s="772"/>
      <c r="AA219" s="772"/>
      <c r="AB219" s="409"/>
      <c r="AC219" s="409"/>
      <c r="AD219" s="409"/>
      <c r="AE219" s="409"/>
      <c r="AF219" s="409"/>
      <c r="AG219" s="409"/>
      <c r="AH219" s="409"/>
      <c r="AI219" s="409"/>
      <c r="AJ219" s="409"/>
      <c r="AK219" s="409"/>
      <c r="AL219" s="409"/>
      <c r="AM219" s="296">
        <f>SUM(Y219:AL219)</f>
        <v>1</v>
      </c>
    </row>
    <row r="220" spans="1:39" ht="15" outlineLevel="1">
      <c r="B220" s="294" t="s">
        <v>244</v>
      </c>
      <c r="C220" s="291" t="s">
        <v>163</v>
      </c>
      <c r="D220" s="295">
        <f>+'7.  Persistence Report'!AR101</f>
        <v>6755.7999879999998</v>
      </c>
      <c r="E220" s="295">
        <f>+'7.  Persistence Report'!AS101</f>
        <v>6755.7999879999998</v>
      </c>
      <c r="F220" s="295">
        <f>+'7.  Persistence Report'!AT101</f>
        <v>6755.7999879999998</v>
      </c>
      <c r="G220" s="295">
        <f>+'7.  Persistence Report'!AU101</f>
        <v>6755.7999879999998</v>
      </c>
      <c r="H220" s="295">
        <f>+'7.  Persistence Report'!AV101</f>
        <v>6489.5871930000003</v>
      </c>
      <c r="I220" s="295">
        <f>+'7.  Persistence Report'!AW101</f>
        <v>6356.4808730000004</v>
      </c>
      <c r="J220" s="295">
        <f>+'7.  Persistence Report'!AX101</f>
        <v>6223.3744889999998</v>
      </c>
      <c r="K220" s="295">
        <f>+'7.  Persistence Report'!AY101</f>
        <v>6223.3744889999998</v>
      </c>
      <c r="L220" s="295">
        <f>+'7.  Persistence Report'!AZ101</f>
        <v>6223.3744889999998</v>
      </c>
      <c r="M220" s="295">
        <f>+'7.  Persistence Report'!BA101</f>
        <v>5195.7999879999998</v>
      </c>
      <c r="N220" s="759"/>
      <c r="O220" s="295">
        <f>+'7.  Persistence Report'!M101</f>
        <v>1.5738455659999999</v>
      </c>
      <c r="P220" s="295">
        <f>+'7.  Persistence Report'!N101</f>
        <v>1.5738455659999999</v>
      </c>
      <c r="Q220" s="295">
        <f>+'7.  Persistence Report'!O101</f>
        <v>1.5738455659999999</v>
      </c>
      <c r="R220" s="295">
        <f>+'7.  Persistence Report'!P101</f>
        <v>1.5738455659999999</v>
      </c>
      <c r="S220" s="295">
        <f>+'7.  Persistence Report'!Q101</f>
        <v>1.559956203</v>
      </c>
      <c r="T220" s="295">
        <f>+'7.  Persistence Report'!R101</f>
        <v>1.553011524</v>
      </c>
      <c r="U220" s="295">
        <f>+'7.  Persistence Report'!S101</f>
        <v>1.5460668440000001</v>
      </c>
      <c r="V220" s="295">
        <f>+'7.  Persistence Report'!T101</f>
        <v>1.5460668440000001</v>
      </c>
      <c r="W220" s="295">
        <f>+'7.  Persistence Report'!U101</f>
        <v>1.5460668440000001</v>
      </c>
      <c r="X220" s="295">
        <f>+'7.  Persistence Report'!V101</f>
        <v>1.492445566</v>
      </c>
      <c r="Y220" s="776">
        <f>Y219</f>
        <v>1</v>
      </c>
      <c r="Z220" s="776">
        <f>Z219</f>
        <v>0</v>
      </c>
      <c r="AA220" s="776">
        <f t="shared" ref="AA220" si="92">AA219</f>
        <v>0</v>
      </c>
      <c r="AB220" s="410">
        <f t="shared" ref="AB220:AL220" si="93">AB219</f>
        <v>0</v>
      </c>
      <c r="AC220" s="410">
        <f t="shared" si="93"/>
        <v>0</v>
      </c>
      <c r="AD220" s="410">
        <f t="shared" si="93"/>
        <v>0</v>
      </c>
      <c r="AE220" s="410">
        <f t="shared" si="93"/>
        <v>0</v>
      </c>
      <c r="AF220" s="410">
        <f t="shared" si="93"/>
        <v>0</v>
      </c>
      <c r="AG220" s="410">
        <f t="shared" si="93"/>
        <v>0</v>
      </c>
      <c r="AH220" s="410">
        <f t="shared" si="93"/>
        <v>0</v>
      </c>
      <c r="AI220" s="410">
        <f t="shared" si="93"/>
        <v>0</v>
      </c>
      <c r="AJ220" s="410">
        <f t="shared" si="93"/>
        <v>0</v>
      </c>
      <c r="AK220" s="410">
        <f t="shared" si="93"/>
        <v>0</v>
      </c>
      <c r="AL220" s="410">
        <f t="shared" si="93"/>
        <v>0</v>
      </c>
      <c r="AM220" s="500"/>
    </row>
    <row r="221" spans="1:39" ht="15" outlineLevel="1">
      <c r="B221" s="315"/>
      <c r="C221" s="305"/>
      <c r="D221" s="758"/>
      <c r="E221" s="758"/>
      <c r="F221" s="758"/>
      <c r="G221" s="758"/>
      <c r="H221" s="758"/>
      <c r="I221" s="758"/>
      <c r="J221" s="758"/>
      <c r="K221" s="758"/>
      <c r="L221" s="758"/>
      <c r="M221" s="758"/>
      <c r="N221" s="758"/>
      <c r="O221" s="758"/>
      <c r="P221" s="758"/>
      <c r="Q221" s="758"/>
      <c r="R221" s="758"/>
      <c r="S221" s="758"/>
      <c r="T221" s="758"/>
      <c r="U221" s="758"/>
      <c r="V221" s="758"/>
      <c r="W221" s="758"/>
      <c r="X221" s="758"/>
      <c r="Y221" s="777"/>
      <c r="Z221" s="777"/>
      <c r="AA221" s="777"/>
      <c r="AB221" s="411"/>
      <c r="AC221" s="411"/>
      <c r="AD221" s="411"/>
      <c r="AE221" s="411"/>
      <c r="AF221" s="411"/>
      <c r="AG221" s="411"/>
      <c r="AH221" s="411"/>
      <c r="AI221" s="411"/>
      <c r="AJ221" s="411"/>
      <c r="AK221" s="411"/>
      <c r="AL221" s="411"/>
      <c r="AM221" s="306"/>
    </row>
    <row r="222" spans="1:39" s="293" customFormat="1" ht="15.75" outlineLevel="1">
      <c r="A222" s="505"/>
      <c r="B222" s="288" t="s">
        <v>488</v>
      </c>
      <c r="C222" s="289"/>
      <c r="D222" s="763"/>
      <c r="E222" s="763"/>
      <c r="F222" s="763"/>
      <c r="G222" s="763"/>
      <c r="H222" s="763"/>
      <c r="I222" s="763"/>
      <c r="J222" s="763"/>
      <c r="K222" s="763"/>
      <c r="L222" s="763"/>
      <c r="M222" s="763"/>
      <c r="N222" s="763"/>
      <c r="O222" s="763"/>
      <c r="P222" s="762"/>
      <c r="Q222" s="762"/>
      <c r="R222" s="762"/>
      <c r="S222" s="762"/>
      <c r="T222" s="762"/>
      <c r="U222" s="762"/>
      <c r="V222" s="762"/>
      <c r="W222" s="762"/>
      <c r="X222" s="762"/>
      <c r="Y222" s="811"/>
      <c r="Z222" s="811"/>
      <c r="AA222" s="811"/>
      <c r="AB222" s="413"/>
      <c r="AC222" s="413"/>
      <c r="AD222" s="413"/>
      <c r="AE222" s="413"/>
      <c r="AF222" s="413"/>
      <c r="AG222" s="413"/>
      <c r="AH222" s="413"/>
      <c r="AI222" s="413"/>
      <c r="AJ222" s="413"/>
      <c r="AK222" s="413"/>
      <c r="AL222" s="413"/>
      <c r="AM222" s="292"/>
    </row>
    <row r="223" spans="1:39" s="283" customFormat="1" ht="15" outlineLevel="1">
      <c r="A223" s="504">
        <v>24</v>
      </c>
      <c r="B223" s="315" t="s">
        <v>14</v>
      </c>
      <c r="C223" s="291" t="s">
        <v>25</v>
      </c>
      <c r="D223" s="295"/>
      <c r="E223" s="295"/>
      <c r="F223" s="295"/>
      <c r="G223" s="295"/>
      <c r="H223" s="295"/>
      <c r="I223" s="295"/>
      <c r="J223" s="295"/>
      <c r="K223" s="295"/>
      <c r="L223" s="295"/>
      <c r="M223" s="295"/>
      <c r="N223" s="758"/>
      <c r="O223" s="295"/>
      <c r="P223" s="295"/>
      <c r="Q223" s="295"/>
      <c r="R223" s="295"/>
      <c r="S223" s="295"/>
      <c r="T223" s="295"/>
      <c r="U223" s="295"/>
      <c r="V223" s="295"/>
      <c r="W223" s="295"/>
      <c r="X223" s="295"/>
      <c r="Y223" s="772"/>
      <c r="Z223" s="772"/>
      <c r="AA223" s="772"/>
      <c r="AB223" s="409"/>
      <c r="AC223" s="409"/>
      <c r="AD223" s="409"/>
      <c r="AE223" s="409"/>
      <c r="AF223" s="409"/>
      <c r="AG223" s="409"/>
      <c r="AH223" s="409"/>
      <c r="AI223" s="409"/>
      <c r="AJ223" s="409"/>
      <c r="AK223" s="409"/>
      <c r="AL223" s="409"/>
      <c r="AM223" s="296">
        <f>SUM(Y223:AL223)</f>
        <v>0</v>
      </c>
    </row>
    <row r="224" spans="1:39" s="283" customFormat="1" ht="15" outlineLevel="1">
      <c r="A224" s="504"/>
      <c r="B224" s="315" t="s">
        <v>244</v>
      </c>
      <c r="C224" s="291" t="s">
        <v>163</v>
      </c>
      <c r="D224" s="295"/>
      <c r="E224" s="295"/>
      <c r="F224" s="295"/>
      <c r="G224" s="295"/>
      <c r="H224" s="295"/>
      <c r="I224" s="295"/>
      <c r="J224" s="295"/>
      <c r="K224" s="295"/>
      <c r="L224" s="295"/>
      <c r="M224" s="295"/>
      <c r="N224" s="759"/>
      <c r="O224" s="295"/>
      <c r="P224" s="295"/>
      <c r="Q224" s="295"/>
      <c r="R224" s="295"/>
      <c r="S224" s="295"/>
      <c r="T224" s="295"/>
      <c r="U224" s="295"/>
      <c r="V224" s="295"/>
      <c r="W224" s="295"/>
      <c r="X224" s="295"/>
      <c r="Y224" s="776">
        <f>Y223</f>
        <v>0</v>
      </c>
      <c r="Z224" s="776">
        <f>Z223</f>
        <v>0</v>
      </c>
      <c r="AA224" s="776">
        <f t="shared" ref="AA224" si="94">AA223</f>
        <v>0</v>
      </c>
      <c r="AB224" s="410">
        <f t="shared" ref="AB224:AL224" si="95">AB223</f>
        <v>0</v>
      </c>
      <c r="AC224" s="410">
        <f t="shared" si="95"/>
        <v>0</v>
      </c>
      <c r="AD224" s="410">
        <f t="shared" si="95"/>
        <v>0</v>
      </c>
      <c r="AE224" s="410">
        <f t="shared" si="95"/>
        <v>0</v>
      </c>
      <c r="AF224" s="410">
        <f t="shared" si="95"/>
        <v>0</v>
      </c>
      <c r="AG224" s="410">
        <f t="shared" si="95"/>
        <v>0</v>
      </c>
      <c r="AH224" s="410">
        <f t="shared" si="95"/>
        <v>0</v>
      </c>
      <c r="AI224" s="410">
        <f t="shared" si="95"/>
        <v>0</v>
      </c>
      <c r="AJ224" s="410">
        <f t="shared" si="95"/>
        <v>0</v>
      </c>
      <c r="AK224" s="410">
        <f t="shared" si="95"/>
        <v>0</v>
      </c>
      <c r="AL224" s="410">
        <f t="shared" si="95"/>
        <v>0</v>
      </c>
      <c r="AM224" s="500"/>
    </row>
    <row r="225" spans="1:39" s="283" customFormat="1" ht="15" outlineLevel="1">
      <c r="A225" s="504"/>
      <c r="B225" s="315"/>
      <c r="C225" s="305"/>
      <c r="D225" s="758"/>
      <c r="E225" s="758"/>
      <c r="F225" s="758"/>
      <c r="G225" s="758"/>
      <c r="H225" s="758"/>
      <c r="I225" s="758"/>
      <c r="J225" s="758"/>
      <c r="K225" s="758"/>
      <c r="L225" s="758"/>
      <c r="M225" s="758"/>
      <c r="N225" s="758"/>
      <c r="O225" s="758"/>
      <c r="P225" s="758"/>
      <c r="Q225" s="758"/>
      <c r="R225" s="758"/>
      <c r="S225" s="758"/>
      <c r="T225" s="758"/>
      <c r="U225" s="758"/>
      <c r="V225" s="758"/>
      <c r="W225" s="758"/>
      <c r="X225" s="758"/>
      <c r="Y225" s="777"/>
      <c r="Z225" s="777"/>
      <c r="AA225" s="777"/>
      <c r="AB225" s="411"/>
      <c r="AC225" s="411"/>
      <c r="AD225" s="411"/>
      <c r="AE225" s="411"/>
      <c r="AF225" s="411"/>
      <c r="AG225" s="411"/>
      <c r="AH225" s="411"/>
      <c r="AI225" s="411"/>
      <c r="AJ225" s="411"/>
      <c r="AK225" s="411"/>
      <c r="AL225" s="411"/>
      <c r="AM225" s="306"/>
    </row>
    <row r="226" spans="1:39" s="283" customFormat="1" ht="15" outlineLevel="1">
      <c r="A226" s="504">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773"/>
      <c r="Z226" s="773"/>
      <c r="AA226" s="773"/>
      <c r="AB226" s="414"/>
      <c r="AC226" s="414"/>
      <c r="AD226" s="414"/>
      <c r="AE226" s="414"/>
      <c r="AF226" s="414"/>
      <c r="AG226" s="414"/>
      <c r="AH226" s="414"/>
      <c r="AI226" s="414"/>
      <c r="AJ226" s="414"/>
      <c r="AK226" s="414"/>
      <c r="AL226" s="414"/>
      <c r="AM226" s="296">
        <f>SUM(Y226:AL226)</f>
        <v>0</v>
      </c>
    </row>
    <row r="227" spans="1:39" s="283" customFormat="1" ht="15" outlineLevel="1">
      <c r="A227" s="504"/>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76">
        <f>Y226</f>
        <v>0</v>
      </c>
      <c r="Z227" s="776">
        <f>Z226</f>
        <v>0</v>
      </c>
      <c r="AA227" s="776">
        <f t="shared" ref="AA227" si="96">AA226</f>
        <v>0</v>
      </c>
      <c r="AB227" s="410">
        <f t="shared" ref="AB227:AL227" si="97">AB226</f>
        <v>0</v>
      </c>
      <c r="AC227" s="410">
        <f t="shared" si="97"/>
        <v>0</v>
      </c>
      <c r="AD227" s="410">
        <f t="shared" si="97"/>
        <v>0</v>
      </c>
      <c r="AE227" s="410">
        <f t="shared" si="97"/>
        <v>0</v>
      </c>
      <c r="AF227" s="410">
        <f t="shared" si="97"/>
        <v>0</v>
      </c>
      <c r="AG227" s="410">
        <f t="shared" si="97"/>
        <v>0</v>
      </c>
      <c r="AH227" s="410">
        <f t="shared" si="97"/>
        <v>0</v>
      </c>
      <c r="AI227" s="410">
        <f t="shared" si="97"/>
        <v>0</v>
      </c>
      <c r="AJ227" s="410">
        <f t="shared" si="97"/>
        <v>0</v>
      </c>
      <c r="AK227" s="410">
        <f t="shared" si="97"/>
        <v>0</v>
      </c>
      <c r="AL227" s="410">
        <f t="shared" si="97"/>
        <v>0</v>
      </c>
      <c r="AM227" s="500"/>
    </row>
    <row r="228" spans="1:39" s="283" customFormat="1" ht="15" outlineLevel="1">
      <c r="A228" s="504"/>
      <c r="B228" s="314"/>
      <c r="C228" s="312"/>
      <c r="D228" s="758"/>
      <c r="E228" s="758"/>
      <c r="F228" s="758"/>
      <c r="G228" s="758"/>
      <c r="H228" s="758"/>
      <c r="I228" s="758"/>
      <c r="J228" s="758"/>
      <c r="K228" s="758"/>
      <c r="L228" s="758"/>
      <c r="M228" s="758"/>
      <c r="N228" s="758"/>
      <c r="O228" s="758"/>
      <c r="P228" s="758"/>
      <c r="Q228" s="758"/>
      <c r="R228" s="758"/>
      <c r="S228" s="758"/>
      <c r="T228" s="758"/>
      <c r="U228" s="758"/>
      <c r="V228" s="758"/>
      <c r="W228" s="758"/>
      <c r="X228" s="758"/>
      <c r="Y228" s="812"/>
      <c r="Z228" s="818"/>
      <c r="AA228" s="812"/>
      <c r="AB228" s="415"/>
      <c r="AC228" s="415"/>
      <c r="AD228" s="415"/>
      <c r="AE228" s="415"/>
      <c r="AF228" s="415"/>
      <c r="AG228" s="415"/>
      <c r="AH228" s="415"/>
      <c r="AI228" s="415"/>
      <c r="AJ228" s="415"/>
      <c r="AK228" s="415"/>
      <c r="AL228" s="415"/>
      <c r="AM228" s="313"/>
    </row>
    <row r="229" spans="1:39" ht="15.75" outlineLevel="1">
      <c r="A229" s="505"/>
      <c r="B229" s="288" t="s">
        <v>15</v>
      </c>
      <c r="C229" s="319"/>
      <c r="D229" s="763"/>
      <c r="E229" s="762"/>
      <c r="F229" s="762"/>
      <c r="G229" s="762"/>
      <c r="H229" s="762"/>
      <c r="I229" s="762"/>
      <c r="J229" s="762"/>
      <c r="K229" s="762"/>
      <c r="L229" s="762"/>
      <c r="M229" s="762"/>
      <c r="N229" s="758"/>
      <c r="O229" s="762"/>
      <c r="P229" s="762"/>
      <c r="Q229" s="762"/>
      <c r="R229" s="762"/>
      <c r="S229" s="762"/>
      <c r="T229" s="762"/>
      <c r="U229" s="762"/>
      <c r="V229" s="762"/>
      <c r="W229" s="762"/>
      <c r="X229" s="762"/>
      <c r="Y229" s="811"/>
      <c r="Z229" s="811"/>
      <c r="AA229" s="811"/>
      <c r="AB229" s="413"/>
      <c r="AC229" s="413"/>
      <c r="AD229" s="413"/>
      <c r="AE229" s="413"/>
      <c r="AF229" s="413"/>
      <c r="AG229" s="413"/>
      <c r="AH229" s="413"/>
      <c r="AI229" s="413"/>
      <c r="AJ229" s="413"/>
      <c r="AK229" s="413"/>
      <c r="AL229" s="413"/>
      <c r="AM229" s="292"/>
    </row>
    <row r="230" spans="1:39" ht="15" outlineLevel="1">
      <c r="A230" s="504">
        <v>26</v>
      </c>
      <c r="B230" s="320"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71"/>
      <c r="Z230" s="773"/>
      <c r="AA230" s="826"/>
      <c r="AB230" s="414"/>
      <c r="AC230" s="414"/>
      <c r="AD230" s="414"/>
      <c r="AE230" s="414"/>
      <c r="AF230" s="414"/>
      <c r="AG230" s="414"/>
      <c r="AH230" s="414"/>
      <c r="AI230" s="414"/>
      <c r="AJ230" s="414"/>
      <c r="AK230" s="414"/>
      <c r="AL230" s="414"/>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76">
        <f>Y230</f>
        <v>0</v>
      </c>
      <c r="Z231" s="776">
        <f>Z230</f>
        <v>0</v>
      </c>
      <c r="AA231" s="776">
        <f t="shared" ref="AA231" si="98">AA230</f>
        <v>0</v>
      </c>
      <c r="AB231" s="410">
        <f t="shared" ref="AB231:AL231" si="99">AB230</f>
        <v>0</v>
      </c>
      <c r="AC231" s="410">
        <f t="shared" si="99"/>
        <v>0</v>
      </c>
      <c r="AD231" s="410">
        <f t="shared" si="99"/>
        <v>0</v>
      </c>
      <c r="AE231" s="410">
        <f t="shared" si="99"/>
        <v>0</v>
      </c>
      <c r="AF231" s="410">
        <f t="shared" si="99"/>
        <v>0</v>
      </c>
      <c r="AG231" s="410">
        <f t="shared" si="99"/>
        <v>0</v>
      </c>
      <c r="AH231" s="410">
        <f t="shared" si="99"/>
        <v>0</v>
      </c>
      <c r="AI231" s="410">
        <f t="shared" si="99"/>
        <v>0</v>
      </c>
      <c r="AJ231" s="410">
        <f t="shared" si="99"/>
        <v>0</v>
      </c>
      <c r="AK231" s="410">
        <f t="shared" si="99"/>
        <v>0</v>
      </c>
      <c r="AL231" s="410">
        <f t="shared" si="99"/>
        <v>0</v>
      </c>
      <c r="AM231" s="500"/>
    </row>
    <row r="232" spans="1:39" ht="15" outlineLevel="1">
      <c r="A232" s="507"/>
      <c r="B232" s="321"/>
      <c r="C232" s="291"/>
      <c r="D232" s="758"/>
      <c r="E232" s="758"/>
      <c r="F232" s="758"/>
      <c r="G232" s="758"/>
      <c r="H232" s="758"/>
      <c r="I232" s="758"/>
      <c r="J232" s="758"/>
      <c r="K232" s="758"/>
      <c r="L232" s="758"/>
      <c r="M232" s="758"/>
      <c r="N232" s="758"/>
      <c r="O232" s="758"/>
      <c r="P232" s="758"/>
      <c r="Q232" s="758"/>
      <c r="R232" s="758"/>
      <c r="S232" s="758"/>
      <c r="T232" s="758"/>
      <c r="U232" s="758"/>
      <c r="V232" s="758"/>
      <c r="W232" s="758"/>
      <c r="X232" s="758"/>
      <c r="Y232" s="817"/>
      <c r="Z232" s="819"/>
      <c r="AA232" s="819"/>
      <c r="AB232" s="421"/>
      <c r="AC232" s="421"/>
      <c r="AD232" s="421"/>
      <c r="AE232" s="421"/>
      <c r="AF232" s="421"/>
      <c r="AG232" s="421"/>
      <c r="AH232" s="421"/>
      <c r="AI232" s="421"/>
      <c r="AJ232" s="421"/>
      <c r="AK232" s="421"/>
      <c r="AL232" s="421"/>
      <c r="AM232" s="297"/>
    </row>
    <row r="233" spans="1:39" ht="15" outlineLevel="1">
      <c r="A233" s="504">
        <v>27</v>
      </c>
      <c r="B233" s="320" t="s">
        <v>17</v>
      </c>
      <c r="C233" s="291" t="s">
        <v>25</v>
      </c>
      <c r="D233" s="295">
        <f>+'7.  Persistence Report'!AR90</f>
        <v>19804.246446966041</v>
      </c>
      <c r="E233" s="295">
        <f>+'7.  Persistence Report'!AS90</f>
        <v>19804.246446966041</v>
      </c>
      <c r="F233" s="295">
        <f>+'7.  Persistence Report'!AT90</f>
        <v>19804.246446966041</v>
      </c>
      <c r="G233" s="295">
        <f>+'7.  Persistence Report'!AU90</f>
        <v>19804.246446966041</v>
      </c>
      <c r="H233" s="295">
        <f>+'7.  Persistence Report'!AV90</f>
        <v>19804.246446966041</v>
      </c>
      <c r="I233" s="295">
        <f>+'7.  Persistence Report'!AW90</f>
        <v>19804.246446966041</v>
      </c>
      <c r="J233" s="295">
        <f>+'7.  Persistence Report'!AX90</f>
        <v>19804.246446966041</v>
      </c>
      <c r="K233" s="295">
        <f>+'7.  Persistence Report'!AY90</f>
        <v>19804.246446966041</v>
      </c>
      <c r="L233" s="295">
        <f>+'7.  Persistence Report'!AZ90</f>
        <v>19804.246446966041</v>
      </c>
      <c r="M233" s="295">
        <f>+'7.  Persistence Report'!BA90</f>
        <v>19804.246446966041</v>
      </c>
      <c r="N233" s="295">
        <v>12</v>
      </c>
      <c r="O233" s="295">
        <f>+'7.  Persistence Report'!M90</f>
        <v>71.333042501561152</v>
      </c>
      <c r="P233" s="295">
        <f>+'7.  Persistence Report'!N90</f>
        <v>71.333042501561152</v>
      </c>
      <c r="Q233" s="295">
        <f>+'7.  Persistence Report'!O90</f>
        <v>71.333042501561152</v>
      </c>
      <c r="R233" s="295">
        <f>+'7.  Persistence Report'!P90</f>
        <v>71.333042501561152</v>
      </c>
      <c r="S233" s="295">
        <f>+'7.  Persistence Report'!Q90</f>
        <v>71.333042501561152</v>
      </c>
      <c r="T233" s="295">
        <f>+'7.  Persistence Report'!R90</f>
        <v>71.333042501561152</v>
      </c>
      <c r="U233" s="295">
        <f>+'7.  Persistence Report'!S90</f>
        <v>71.333042501561152</v>
      </c>
      <c r="V233" s="295">
        <f>+'7.  Persistence Report'!T90</f>
        <v>71.333042501561152</v>
      </c>
      <c r="W233" s="295">
        <f>+'7.  Persistence Report'!U90</f>
        <v>71.333042501561152</v>
      </c>
      <c r="X233" s="295">
        <f>+'7.  Persistence Report'!V90</f>
        <v>71.333042501561152</v>
      </c>
      <c r="Y233" s="771"/>
      <c r="Z233" s="773">
        <v>1</v>
      </c>
      <c r="AA233" s="773"/>
      <c r="AB233" s="414"/>
      <c r="AC233" s="414"/>
      <c r="AD233" s="414"/>
      <c r="AE233" s="414"/>
      <c r="AF233" s="414"/>
      <c r="AG233" s="414"/>
      <c r="AH233" s="414"/>
      <c r="AI233" s="414"/>
      <c r="AJ233" s="414"/>
      <c r="AK233" s="414"/>
      <c r="AL233" s="414"/>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76">
        <f>Y233</f>
        <v>0</v>
      </c>
      <c r="Z234" s="776">
        <f>Z233</f>
        <v>1</v>
      </c>
      <c r="AA234" s="776">
        <f t="shared" ref="AA234" si="100">AA233</f>
        <v>0</v>
      </c>
      <c r="AB234" s="410">
        <f t="shared" ref="AB234:AL234" si="101">AB233</f>
        <v>0</v>
      </c>
      <c r="AC234" s="410">
        <f t="shared" si="101"/>
        <v>0</v>
      </c>
      <c r="AD234" s="410">
        <f t="shared" si="101"/>
        <v>0</v>
      </c>
      <c r="AE234" s="410">
        <f t="shared" si="101"/>
        <v>0</v>
      </c>
      <c r="AF234" s="410">
        <f t="shared" si="101"/>
        <v>0</v>
      </c>
      <c r="AG234" s="410">
        <f t="shared" si="101"/>
        <v>0</v>
      </c>
      <c r="AH234" s="410">
        <f t="shared" si="101"/>
        <v>0</v>
      </c>
      <c r="AI234" s="410">
        <f t="shared" si="101"/>
        <v>0</v>
      </c>
      <c r="AJ234" s="410">
        <f t="shared" si="101"/>
        <v>0</v>
      </c>
      <c r="AK234" s="410">
        <f t="shared" si="101"/>
        <v>0</v>
      </c>
      <c r="AL234" s="410">
        <f t="shared" si="101"/>
        <v>0</v>
      </c>
      <c r="AM234" s="500"/>
    </row>
    <row r="235" spans="1:39" ht="15.75" outlineLevel="1">
      <c r="A235" s="507"/>
      <c r="B235" s="322"/>
      <c r="C235" s="300"/>
      <c r="D235" s="758"/>
      <c r="E235" s="758"/>
      <c r="F235" s="758"/>
      <c r="G235" s="758"/>
      <c r="H235" s="758"/>
      <c r="I235" s="758"/>
      <c r="J235" s="758"/>
      <c r="K235" s="758"/>
      <c r="L235" s="758"/>
      <c r="M235" s="758"/>
      <c r="N235" s="761"/>
      <c r="O235" s="758"/>
      <c r="P235" s="758"/>
      <c r="Q235" s="758"/>
      <c r="R235" s="758"/>
      <c r="S235" s="758"/>
      <c r="T235" s="758"/>
      <c r="U235" s="758"/>
      <c r="V235" s="758"/>
      <c r="W235" s="758"/>
      <c r="X235" s="758"/>
      <c r="Y235" s="777"/>
      <c r="Z235" s="777"/>
      <c r="AA235" s="777"/>
      <c r="AB235" s="411"/>
      <c r="AC235" s="411"/>
      <c r="AD235" s="411"/>
      <c r="AE235" s="411"/>
      <c r="AF235" s="411"/>
      <c r="AG235" s="411"/>
      <c r="AH235" s="411"/>
      <c r="AI235" s="411"/>
      <c r="AJ235" s="411"/>
      <c r="AK235" s="411"/>
      <c r="AL235" s="411"/>
      <c r="AM235" s="306"/>
    </row>
    <row r="236" spans="1:39" ht="15" outlineLevel="1">
      <c r="A236" s="504">
        <v>28</v>
      </c>
      <c r="B236" s="320"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71"/>
      <c r="Z236" s="773"/>
      <c r="AA236" s="773"/>
      <c r="AB236" s="414"/>
      <c r="AC236" s="414"/>
      <c r="AD236" s="414"/>
      <c r="AE236" s="414"/>
      <c r="AF236" s="414"/>
      <c r="AG236" s="414"/>
      <c r="AH236" s="414"/>
      <c r="AI236" s="414"/>
      <c r="AJ236" s="414"/>
      <c r="AK236" s="414"/>
      <c r="AL236" s="414"/>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76">
        <f>Y236</f>
        <v>0</v>
      </c>
      <c r="Z237" s="776">
        <f>Z236</f>
        <v>0</v>
      </c>
      <c r="AA237" s="776">
        <f t="shared" ref="AA237" si="102">AA236</f>
        <v>0</v>
      </c>
      <c r="AB237" s="410">
        <f t="shared" ref="AB237:AL237" si="103">AB236</f>
        <v>0</v>
      </c>
      <c r="AC237" s="410">
        <f t="shared" si="103"/>
        <v>0</v>
      </c>
      <c r="AD237" s="410">
        <f t="shared" si="103"/>
        <v>0</v>
      </c>
      <c r="AE237" s="410">
        <f t="shared" si="103"/>
        <v>0</v>
      </c>
      <c r="AF237" s="410">
        <f t="shared" si="103"/>
        <v>0</v>
      </c>
      <c r="AG237" s="410">
        <f t="shared" si="103"/>
        <v>0</v>
      </c>
      <c r="AH237" s="410">
        <f t="shared" si="103"/>
        <v>0</v>
      </c>
      <c r="AI237" s="410">
        <f t="shared" si="103"/>
        <v>0</v>
      </c>
      <c r="AJ237" s="410">
        <f t="shared" si="103"/>
        <v>0</v>
      </c>
      <c r="AK237" s="410">
        <f t="shared" si="103"/>
        <v>0</v>
      </c>
      <c r="AL237" s="410">
        <f t="shared" si="103"/>
        <v>0</v>
      </c>
      <c r="AM237" s="500"/>
    </row>
    <row r="238" spans="1:39" ht="15" outlineLevel="1">
      <c r="A238" s="507"/>
      <c r="B238" s="321"/>
      <c r="C238" s="291"/>
      <c r="D238" s="758"/>
      <c r="E238" s="758"/>
      <c r="F238" s="758"/>
      <c r="G238" s="758"/>
      <c r="H238" s="758"/>
      <c r="I238" s="758"/>
      <c r="J238" s="758"/>
      <c r="K238" s="758"/>
      <c r="L238" s="758"/>
      <c r="M238" s="758"/>
      <c r="N238" s="758"/>
      <c r="O238" s="758"/>
      <c r="P238" s="758"/>
      <c r="Q238" s="758"/>
      <c r="R238" s="758"/>
      <c r="S238" s="758"/>
      <c r="T238" s="758"/>
      <c r="U238" s="758"/>
      <c r="V238" s="758"/>
      <c r="W238" s="758"/>
      <c r="X238" s="758"/>
      <c r="Y238" s="777"/>
      <c r="Z238" s="777"/>
      <c r="AA238" s="777"/>
      <c r="AB238" s="411"/>
      <c r="AC238" s="411"/>
      <c r="AD238" s="411"/>
      <c r="AE238" s="411"/>
      <c r="AF238" s="411"/>
      <c r="AG238" s="411"/>
      <c r="AH238" s="411"/>
      <c r="AI238" s="411"/>
      <c r="AJ238" s="411"/>
      <c r="AK238" s="411"/>
      <c r="AL238" s="411"/>
      <c r="AM238" s="306"/>
    </row>
    <row r="239" spans="1:39" ht="15" outlineLevel="1">
      <c r="A239" s="504">
        <v>29</v>
      </c>
      <c r="B239" s="323"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71"/>
      <c r="Z239" s="773"/>
      <c r="AA239" s="773"/>
      <c r="AB239" s="414"/>
      <c r="AC239" s="414"/>
      <c r="AD239" s="414"/>
      <c r="AE239" s="414"/>
      <c r="AF239" s="414"/>
      <c r="AG239" s="414"/>
      <c r="AH239" s="414"/>
      <c r="AI239" s="414"/>
      <c r="AJ239" s="414"/>
      <c r="AK239" s="414"/>
      <c r="AL239" s="414"/>
      <c r="AM239" s="296">
        <f>SUM(Y239:AL239)</f>
        <v>0</v>
      </c>
    </row>
    <row r="240" spans="1:39" ht="15" outlineLevel="1">
      <c r="B240" s="323"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76">
        <f>Y239</f>
        <v>0</v>
      </c>
      <c r="Z240" s="776">
        <f t="shared" ref="Z240:AA240" si="104">Z239</f>
        <v>0</v>
      </c>
      <c r="AA240" s="776">
        <f t="shared" si="104"/>
        <v>0</v>
      </c>
      <c r="AB240" s="410">
        <f t="shared" ref="AB240:AL240" si="105">AB239</f>
        <v>0</v>
      </c>
      <c r="AC240" s="410">
        <f t="shared" si="105"/>
        <v>0</v>
      </c>
      <c r="AD240" s="410">
        <f t="shared" si="105"/>
        <v>0</v>
      </c>
      <c r="AE240" s="410">
        <f t="shared" si="105"/>
        <v>0</v>
      </c>
      <c r="AF240" s="410">
        <f t="shared" si="105"/>
        <v>0</v>
      </c>
      <c r="AG240" s="410">
        <f t="shared" si="105"/>
        <v>0</v>
      </c>
      <c r="AH240" s="410">
        <f t="shared" si="105"/>
        <v>0</v>
      </c>
      <c r="AI240" s="410">
        <f t="shared" si="105"/>
        <v>0</v>
      </c>
      <c r="AJ240" s="410">
        <f t="shared" si="105"/>
        <v>0</v>
      </c>
      <c r="AK240" s="410">
        <f t="shared" si="105"/>
        <v>0</v>
      </c>
      <c r="AL240" s="410">
        <f t="shared" si="105"/>
        <v>0</v>
      </c>
      <c r="AM240" s="500"/>
    </row>
    <row r="241" spans="1:39" ht="15" outlineLevel="1">
      <c r="B241" s="323"/>
      <c r="C241" s="291"/>
      <c r="D241" s="758"/>
      <c r="E241" s="758"/>
      <c r="F241" s="758"/>
      <c r="G241" s="758"/>
      <c r="H241" s="758"/>
      <c r="I241" s="758"/>
      <c r="J241" s="758"/>
      <c r="K241" s="758"/>
      <c r="L241" s="758"/>
      <c r="M241" s="758"/>
      <c r="N241" s="758"/>
      <c r="O241" s="758"/>
      <c r="P241" s="758"/>
      <c r="Q241" s="758"/>
      <c r="R241" s="758"/>
      <c r="S241" s="758"/>
      <c r="T241" s="758"/>
      <c r="U241" s="758"/>
      <c r="V241" s="758"/>
      <c r="W241" s="758"/>
      <c r="X241" s="758"/>
      <c r="Y241" s="817"/>
      <c r="Z241" s="817"/>
      <c r="AA241" s="817"/>
      <c r="AB241" s="420"/>
      <c r="AC241" s="420"/>
      <c r="AD241" s="420"/>
      <c r="AE241" s="420"/>
      <c r="AF241" s="420"/>
      <c r="AG241" s="420"/>
      <c r="AH241" s="420"/>
      <c r="AI241" s="420"/>
      <c r="AJ241" s="420"/>
      <c r="AK241" s="420"/>
      <c r="AL241" s="420"/>
      <c r="AM241" s="313"/>
    </row>
    <row r="242" spans="1:39" s="283" customFormat="1" ht="15" outlineLevel="1">
      <c r="A242" s="504">
        <v>30</v>
      </c>
      <c r="B242" s="323"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72"/>
      <c r="Z242" s="772"/>
      <c r="AA242" s="772"/>
      <c r="AB242" s="409"/>
      <c r="AC242" s="409"/>
      <c r="AD242" s="409"/>
      <c r="AE242" s="409"/>
      <c r="AF242" s="409"/>
      <c r="AG242" s="409"/>
      <c r="AH242" s="409"/>
      <c r="AI242" s="409"/>
      <c r="AJ242" s="409"/>
      <c r="AK242" s="409"/>
      <c r="AL242" s="409"/>
      <c r="AM242" s="296">
        <f>SUM(Y242:AL242)</f>
        <v>0</v>
      </c>
    </row>
    <row r="243" spans="1:39" s="283" customFormat="1" ht="15" outlineLevel="1">
      <c r="A243" s="504"/>
      <c r="B243" s="323"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76">
        <f>Y242</f>
        <v>0</v>
      </c>
      <c r="Z243" s="776">
        <f t="shared" ref="Z243:AA243" si="106">Z242</f>
        <v>0</v>
      </c>
      <c r="AA243" s="776">
        <f t="shared" si="106"/>
        <v>0</v>
      </c>
      <c r="AB243" s="410">
        <f t="shared" ref="AB243:AL243" si="107">AB242</f>
        <v>0</v>
      </c>
      <c r="AC243" s="410">
        <f t="shared" si="107"/>
        <v>0</v>
      </c>
      <c r="AD243" s="410">
        <f t="shared" si="107"/>
        <v>0</v>
      </c>
      <c r="AE243" s="410">
        <f t="shared" si="107"/>
        <v>0</v>
      </c>
      <c r="AF243" s="410">
        <f t="shared" si="107"/>
        <v>0</v>
      </c>
      <c r="AG243" s="410">
        <f t="shared" si="107"/>
        <v>0</v>
      </c>
      <c r="AH243" s="410">
        <f t="shared" si="107"/>
        <v>0</v>
      </c>
      <c r="AI243" s="410">
        <f t="shared" si="107"/>
        <v>0</v>
      </c>
      <c r="AJ243" s="410">
        <f t="shared" si="107"/>
        <v>0</v>
      </c>
      <c r="AK243" s="410">
        <f t="shared" si="107"/>
        <v>0</v>
      </c>
      <c r="AL243" s="410">
        <f t="shared" si="107"/>
        <v>0</v>
      </c>
      <c r="AM243" s="500"/>
    </row>
    <row r="244" spans="1:39" s="283" customFormat="1" ht="15" outlineLevel="1">
      <c r="A244" s="504"/>
      <c r="B244" s="323"/>
      <c r="C244" s="291"/>
      <c r="D244" s="758"/>
      <c r="E244" s="758"/>
      <c r="F244" s="758"/>
      <c r="G244" s="758"/>
      <c r="H244" s="758"/>
      <c r="I244" s="758"/>
      <c r="J244" s="758"/>
      <c r="K244" s="758"/>
      <c r="L244" s="758"/>
      <c r="M244" s="758"/>
      <c r="N244" s="758"/>
      <c r="O244" s="758"/>
      <c r="P244" s="758"/>
      <c r="Q244" s="758"/>
      <c r="R244" s="758"/>
      <c r="S244" s="758"/>
      <c r="T244" s="758"/>
      <c r="U244" s="758"/>
      <c r="V244" s="758"/>
      <c r="W244" s="758"/>
      <c r="X244" s="758"/>
      <c r="Y244" s="777"/>
      <c r="Z244" s="777"/>
      <c r="AA244" s="777"/>
      <c r="AB244" s="411"/>
      <c r="AC244" s="411"/>
      <c r="AD244" s="411"/>
      <c r="AE244" s="411"/>
      <c r="AF244" s="411"/>
      <c r="AG244" s="411"/>
      <c r="AH244" s="411"/>
      <c r="AI244" s="411"/>
      <c r="AJ244" s="411"/>
      <c r="AK244" s="411"/>
      <c r="AL244" s="411"/>
      <c r="AM244" s="313"/>
    </row>
    <row r="245" spans="1:39" s="283" customFormat="1" ht="15.75" outlineLevel="1">
      <c r="A245" s="504"/>
      <c r="B245" s="288" t="s">
        <v>490</v>
      </c>
      <c r="C245" s="291"/>
      <c r="D245" s="758"/>
      <c r="E245" s="758"/>
      <c r="F245" s="758"/>
      <c r="G245" s="758"/>
      <c r="H245" s="758"/>
      <c r="I245" s="758"/>
      <c r="J245" s="758"/>
      <c r="K245" s="758"/>
      <c r="L245" s="758"/>
      <c r="M245" s="758"/>
      <c r="N245" s="758"/>
      <c r="O245" s="758"/>
      <c r="P245" s="758"/>
      <c r="Q245" s="758"/>
      <c r="R245" s="758"/>
      <c r="S245" s="758"/>
      <c r="T245" s="758"/>
      <c r="U245" s="758"/>
      <c r="V245" s="758"/>
      <c r="W245" s="758"/>
      <c r="X245" s="758"/>
      <c r="Y245" s="777"/>
      <c r="Z245" s="777"/>
      <c r="AA245" s="777"/>
      <c r="AB245" s="411"/>
      <c r="AC245" s="411"/>
      <c r="AD245" s="411"/>
      <c r="AE245" s="411"/>
      <c r="AF245" s="411"/>
      <c r="AG245" s="411"/>
      <c r="AH245" s="411"/>
      <c r="AI245" s="411"/>
      <c r="AJ245" s="411"/>
      <c r="AK245" s="411"/>
      <c r="AL245" s="411"/>
      <c r="AM245" s="313"/>
    </row>
    <row r="246" spans="1:39" s="283" customFormat="1" ht="15" outlineLevel="1">
      <c r="A246" s="504">
        <v>31</v>
      </c>
      <c r="B246" s="323"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72"/>
      <c r="Z246" s="772"/>
      <c r="AA246" s="772"/>
      <c r="AB246" s="409"/>
      <c r="AC246" s="409"/>
      <c r="AD246" s="409"/>
      <c r="AE246" s="409"/>
      <c r="AF246" s="409"/>
      <c r="AG246" s="409"/>
      <c r="AH246" s="409"/>
      <c r="AI246" s="409"/>
      <c r="AJ246" s="409"/>
      <c r="AK246" s="409"/>
      <c r="AL246" s="409"/>
      <c r="AM246" s="296">
        <f>SUM(Y246:AL246)</f>
        <v>0</v>
      </c>
    </row>
    <row r="247" spans="1:39" s="283" customFormat="1" ht="15" outlineLevel="1">
      <c r="A247" s="504"/>
      <c r="B247" s="323"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76">
        <f>Y246</f>
        <v>0</v>
      </c>
      <c r="Z247" s="776">
        <f t="shared" ref="Z247:AA247" si="108">Z246</f>
        <v>0</v>
      </c>
      <c r="AA247" s="776">
        <f t="shared" si="108"/>
        <v>0</v>
      </c>
      <c r="AB247" s="410">
        <f t="shared" ref="AB247:AL247" si="109">AB246</f>
        <v>0</v>
      </c>
      <c r="AC247" s="410">
        <f t="shared" si="109"/>
        <v>0</v>
      </c>
      <c r="AD247" s="410">
        <f t="shared" si="109"/>
        <v>0</v>
      </c>
      <c r="AE247" s="410">
        <f t="shared" si="109"/>
        <v>0</v>
      </c>
      <c r="AF247" s="410">
        <f t="shared" si="109"/>
        <v>0</v>
      </c>
      <c r="AG247" s="410">
        <f t="shared" si="109"/>
        <v>0</v>
      </c>
      <c r="AH247" s="410">
        <f t="shared" si="109"/>
        <v>0</v>
      </c>
      <c r="AI247" s="410">
        <f t="shared" si="109"/>
        <v>0</v>
      </c>
      <c r="AJ247" s="410">
        <f t="shared" si="109"/>
        <v>0</v>
      </c>
      <c r="AK247" s="410">
        <f t="shared" si="109"/>
        <v>0</v>
      </c>
      <c r="AL247" s="410">
        <f t="shared" si="109"/>
        <v>0</v>
      </c>
      <c r="AM247" s="500"/>
    </row>
    <row r="248" spans="1:39" s="283" customFormat="1" ht="15" outlineLevel="1">
      <c r="A248" s="504"/>
      <c r="B248" s="323"/>
      <c r="C248" s="291"/>
      <c r="D248" s="758"/>
      <c r="E248" s="758"/>
      <c r="F248" s="758"/>
      <c r="G248" s="758"/>
      <c r="H248" s="758"/>
      <c r="I248" s="758"/>
      <c r="J248" s="758"/>
      <c r="K248" s="758"/>
      <c r="L248" s="758"/>
      <c r="M248" s="758"/>
      <c r="N248" s="758"/>
      <c r="O248" s="758"/>
      <c r="P248" s="758"/>
      <c r="Q248" s="758"/>
      <c r="R248" s="758"/>
      <c r="S248" s="758"/>
      <c r="T248" s="758"/>
      <c r="U248" s="758"/>
      <c r="V248" s="758"/>
      <c r="W248" s="758"/>
      <c r="X248" s="758"/>
      <c r="Y248" s="777"/>
      <c r="Z248" s="777"/>
      <c r="AA248" s="777"/>
      <c r="AB248" s="411"/>
      <c r="AC248" s="411"/>
      <c r="AD248" s="411"/>
      <c r="AE248" s="411"/>
      <c r="AF248" s="411"/>
      <c r="AG248" s="411"/>
      <c r="AH248" s="411"/>
      <c r="AI248" s="411"/>
      <c r="AJ248" s="411"/>
      <c r="AK248" s="411"/>
      <c r="AL248" s="411"/>
      <c r="AM248" s="313"/>
    </row>
    <row r="249" spans="1:39" s="283" customFormat="1" ht="15" outlineLevel="1">
      <c r="A249" s="504">
        <v>32</v>
      </c>
      <c r="B249" s="323"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72"/>
      <c r="Z249" s="772"/>
      <c r="AA249" s="772"/>
      <c r="AB249" s="409"/>
      <c r="AC249" s="409"/>
      <c r="AD249" s="409"/>
      <c r="AE249" s="409"/>
      <c r="AF249" s="409"/>
      <c r="AG249" s="409"/>
      <c r="AH249" s="409"/>
      <c r="AI249" s="409"/>
      <c r="AJ249" s="409"/>
      <c r="AK249" s="409"/>
      <c r="AL249" s="409"/>
      <c r="AM249" s="296">
        <f>SUM(Y249:AL249)</f>
        <v>0</v>
      </c>
    </row>
    <row r="250" spans="1:39" s="283" customFormat="1" ht="15" outlineLevel="1">
      <c r="A250" s="504"/>
      <c r="B250" s="323"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76">
        <f>Y249</f>
        <v>0</v>
      </c>
      <c r="Z250" s="776">
        <f t="shared" ref="Z250:AA250" si="110">Z249</f>
        <v>0</v>
      </c>
      <c r="AA250" s="776">
        <f t="shared" si="110"/>
        <v>0</v>
      </c>
      <c r="AB250" s="410">
        <f t="shared" ref="AB250:AL250" si="111">AB249</f>
        <v>0</v>
      </c>
      <c r="AC250" s="410">
        <f t="shared" si="111"/>
        <v>0</v>
      </c>
      <c r="AD250" s="410">
        <f t="shared" si="111"/>
        <v>0</v>
      </c>
      <c r="AE250" s="410">
        <f t="shared" si="111"/>
        <v>0</v>
      </c>
      <c r="AF250" s="410">
        <f t="shared" si="111"/>
        <v>0</v>
      </c>
      <c r="AG250" s="410">
        <f t="shared" si="111"/>
        <v>0</v>
      </c>
      <c r="AH250" s="410">
        <f t="shared" si="111"/>
        <v>0</v>
      </c>
      <c r="AI250" s="410">
        <f t="shared" si="111"/>
        <v>0</v>
      </c>
      <c r="AJ250" s="410">
        <f t="shared" si="111"/>
        <v>0</v>
      </c>
      <c r="AK250" s="410">
        <f t="shared" si="111"/>
        <v>0</v>
      </c>
      <c r="AL250" s="410">
        <f t="shared" si="111"/>
        <v>0</v>
      </c>
      <c r="AM250" s="500"/>
    </row>
    <row r="251" spans="1:39" s="283" customFormat="1" ht="15" outlineLevel="1">
      <c r="A251" s="504"/>
      <c r="B251" s="323"/>
      <c r="C251" s="291"/>
      <c r="D251" s="758"/>
      <c r="E251" s="758"/>
      <c r="F251" s="758"/>
      <c r="G251" s="758"/>
      <c r="H251" s="758"/>
      <c r="I251" s="758"/>
      <c r="J251" s="758"/>
      <c r="K251" s="758"/>
      <c r="L251" s="758"/>
      <c r="M251" s="758"/>
      <c r="N251" s="758"/>
      <c r="O251" s="758"/>
      <c r="P251" s="758"/>
      <c r="Q251" s="758"/>
      <c r="R251" s="758"/>
      <c r="S251" s="758"/>
      <c r="T251" s="758"/>
      <c r="U251" s="758"/>
      <c r="V251" s="758"/>
      <c r="W251" s="758"/>
      <c r="X251" s="758"/>
      <c r="Y251" s="777"/>
      <c r="Z251" s="777"/>
      <c r="AA251" s="777"/>
      <c r="AB251" s="411"/>
      <c r="AC251" s="411"/>
      <c r="AD251" s="411"/>
      <c r="AE251" s="411"/>
      <c r="AF251" s="411"/>
      <c r="AG251" s="411"/>
      <c r="AH251" s="411"/>
      <c r="AI251" s="411"/>
      <c r="AJ251" s="411"/>
      <c r="AK251" s="411"/>
      <c r="AL251" s="411"/>
      <c r="AM251" s="313"/>
    </row>
    <row r="252" spans="1:39" s="283" customFormat="1" ht="15" outlineLevel="1">
      <c r="A252" s="504">
        <v>33</v>
      </c>
      <c r="B252" s="323"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772"/>
      <c r="Z252" s="772"/>
      <c r="AA252" s="772"/>
      <c r="AB252" s="409"/>
      <c r="AC252" s="409"/>
      <c r="AD252" s="409"/>
      <c r="AE252" s="409"/>
      <c r="AF252" s="409"/>
      <c r="AG252" s="409"/>
      <c r="AH252" s="409"/>
      <c r="AI252" s="409"/>
      <c r="AJ252" s="409"/>
      <c r="AK252" s="409"/>
      <c r="AL252" s="409"/>
      <c r="AM252" s="296">
        <f>SUM(Y252:AL252)</f>
        <v>0</v>
      </c>
    </row>
    <row r="253" spans="1:39" s="283" customFormat="1" ht="15" outlineLevel="1">
      <c r="A253" s="504"/>
      <c r="B253" s="323"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76">
        <f>Y252</f>
        <v>0</v>
      </c>
      <c r="Z253" s="776">
        <f t="shared" ref="Z253:AA253" si="112">Z252</f>
        <v>0</v>
      </c>
      <c r="AA253" s="776">
        <f t="shared" si="112"/>
        <v>0</v>
      </c>
      <c r="AB253" s="410">
        <f t="shared" ref="AB253:AL253" si="113">AB252</f>
        <v>0</v>
      </c>
      <c r="AC253" s="410">
        <f t="shared" si="113"/>
        <v>0</v>
      </c>
      <c r="AD253" s="410">
        <f t="shared" si="113"/>
        <v>0</v>
      </c>
      <c r="AE253" s="410">
        <f t="shared" si="113"/>
        <v>0</v>
      </c>
      <c r="AF253" s="410">
        <f t="shared" si="113"/>
        <v>0</v>
      </c>
      <c r="AG253" s="410">
        <f t="shared" si="113"/>
        <v>0</v>
      </c>
      <c r="AH253" s="410">
        <f t="shared" si="113"/>
        <v>0</v>
      </c>
      <c r="AI253" s="410">
        <f t="shared" si="113"/>
        <v>0</v>
      </c>
      <c r="AJ253" s="410">
        <f t="shared" si="113"/>
        <v>0</v>
      </c>
      <c r="AK253" s="410">
        <f t="shared" si="113"/>
        <v>0</v>
      </c>
      <c r="AL253" s="410">
        <f t="shared" si="113"/>
        <v>0</v>
      </c>
      <c r="AM253" s="500"/>
    </row>
    <row r="254" spans="1:39" ht="15"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1"/>
      <c r="Z254" s="301"/>
      <c r="AA254" s="301"/>
      <c r="AB254" s="301"/>
      <c r="AC254" s="301"/>
      <c r="AD254" s="301"/>
      <c r="AE254" s="301"/>
      <c r="AF254" s="301"/>
      <c r="AG254" s="301"/>
      <c r="AH254" s="301"/>
      <c r="AI254" s="301"/>
      <c r="AJ254" s="301"/>
      <c r="AK254" s="301"/>
      <c r="AL254" s="301"/>
      <c r="AM254" s="306"/>
    </row>
    <row r="255" spans="1:39" ht="15.75">
      <c r="B255" s="326" t="s">
        <v>245</v>
      </c>
      <c r="C255" s="328"/>
      <c r="D255" s="328">
        <f>SUM(D150:D253)</f>
        <v>6949090.2650679238</v>
      </c>
      <c r="E255" s="328"/>
      <c r="F255" s="328"/>
      <c r="G255" s="328"/>
      <c r="H255" s="328"/>
      <c r="I255" s="328"/>
      <c r="J255" s="328"/>
      <c r="K255" s="328"/>
      <c r="L255" s="328"/>
      <c r="M255" s="328"/>
      <c r="N255" s="328"/>
      <c r="O255" s="328">
        <f>SUM(O150:O253)</f>
        <v>8023.7647835499074</v>
      </c>
      <c r="P255" s="328"/>
      <c r="Q255" s="328"/>
      <c r="R255" s="328"/>
      <c r="S255" s="328"/>
      <c r="T255" s="328"/>
      <c r="U255" s="328"/>
      <c r="V255" s="328"/>
      <c r="W255" s="328"/>
      <c r="X255" s="328"/>
      <c r="Y255" s="328">
        <f>IF(Y149="kWh",SUMPRODUCT(D150:D253,Y150:Y253))</f>
        <v>1492401.3800030332</v>
      </c>
      <c r="Z255" s="328">
        <f>IF(Z149="kWh",SUMPRODUCT(D150:D253,Z150:Z253))</f>
        <v>1608020.0809601552</v>
      </c>
      <c r="AA255" s="328">
        <f>IF(AA149="kW",SUMPRODUCT(N150:N253,O150:O253,AA150:AA253),SUMPRODUCT(D150:D253,AA150:AA253))</f>
        <v>9368.2146592659301</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1:41" ht="15">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1.6799999999999999E-2</v>
      </c>
      <c r="Z258" s="340">
        <f>HLOOKUP(Z$20,'3.  Distribution Rates'!$C$122:$P$133,4,FALSE)</f>
        <v>1.21E-2</v>
      </c>
      <c r="AA258" s="340">
        <f>HLOOKUP(AA$20,'3.  Distribution Rates'!$C$122:$P$133,4,FALSE)</f>
        <v>3.9651000000000001</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ref="Y259:AL259" si="114">Y135*Y258</f>
        <v>34969.754647512789</v>
      </c>
      <c r="Z259" s="377">
        <f t="shared" si="114"/>
        <v>25905.023930919768</v>
      </c>
      <c r="AA259" s="377">
        <f t="shared" si="114"/>
        <v>67005.309514853288</v>
      </c>
      <c r="AB259" s="377">
        <f t="shared" si="114"/>
        <v>0</v>
      </c>
      <c r="AC259" s="377">
        <f t="shared" si="114"/>
        <v>0</v>
      </c>
      <c r="AD259" s="377">
        <f t="shared" si="114"/>
        <v>0</v>
      </c>
      <c r="AE259" s="377">
        <f t="shared" si="114"/>
        <v>0</v>
      </c>
      <c r="AF259" s="377">
        <f t="shared" si="114"/>
        <v>0</v>
      </c>
      <c r="AG259" s="377">
        <f t="shared" si="114"/>
        <v>0</v>
      </c>
      <c r="AH259" s="377">
        <f t="shared" si="114"/>
        <v>0</v>
      </c>
      <c r="AI259" s="377">
        <f t="shared" si="114"/>
        <v>0</v>
      </c>
      <c r="AJ259" s="377">
        <f t="shared" si="114"/>
        <v>0</v>
      </c>
      <c r="AK259" s="377">
        <f t="shared" si="114"/>
        <v>0</v>
      </c>
      <c r="AL259" s="377">
        <f t="shared" si="114"/>
        <v>0</v>
      </c>
      <c r="AM259" s="624">
        <f>SUM(Y259:AL259)</f>
        <v>127880.08809328584</v>
      </c>
    </row>
    <row r="260" spans="1:41" ht="15">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ref="Y260:AE260" si="115">Y255*Y258</f>
        <v>25072.343184050955</v>
      </c>
      <c r="Z260" s="377">
        <f t="shared" si="115"/>
        <v>19457.042979617876</v>
      </c>
      <c r="AA260" s="378">
        <f t="shared" si="115"/>
        <v>37145.907945455343</v>
      </c>
      <c r="AB260" s="378">
        <f t="shared" si="115"/>
        <v>0</v>
      </c>
      <c r="AC260" s="378">
        <f t="shared" si="115"/>
        <v>0</v>
      </c>
      <c r="AD260" s="378">
        <f t="shared" si="115"/>
        <v>0</v>
      </c>
      <c r="AE260" s="378">
        <f t="shared" si="115"/>
        <v>0</v>
      </c>
      <c r="AF260" s="378">
        <f t="shared" ref="AF260:AL260" si="116">AF255*AF258</f>
        <v>0</v>
      </c>
      <c r="AG260" s="378">
        <f t="shared" si="116"/>
        <v>0</v>
      </c>
      <c r="AH260" s="378">
        <f t="shared" si="116"/>
        <v>0</v>
      </c>
      <c r="AI260" s="378">
        <f t="shared" si="116"/>
        <v>0</v>
      </c>
      <c r="AJ260" s="378">
        <f t="shared" si="116"/>
        <v>0</v>
      </c>
      <c r="AK260" s="378">
        <f t="shared" si="116"/>
        <v>0</v>
      </c>
      <c r="AL260" s="378">
        <f t="shared" si="116"/>
        <v>0</v>
      </c>
      <c r="AM260" s="624">
        <f>SUM(Y260:AL260)</f>
        <v>81675.294109124166</v>
      </c>
    </row>
    <row r="261" spans="1:41" s="379" customFormat="1" ht="15.75">
      <c r="A261" s="506"/>
      <c r="B261" s="348" t="s">
        <v>254</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60042.097831563748</v>
      </c>
      <c r="Z261" s="345">
        <f t="shared" ref="Z261:AE261" si="117">SUM(Z259:Z260)</f>
        <v>45362.066910537644</v>
      </c>
      <c r="AA261" s="345">
        <f t="shared" si="117"/>
        <v>104151.21746030863</v>
      </c>
      <c r="AB261" s="345">
        <f t="shared" si="117"/>
        <v>0</v>
      </c>
      <c r="AC261" s="345">
        <f t="shared" si="117"/>
        <v>0</v>
      </c>
      <c r="AD261" s="345">
        <f t="shared" si="117"/>
        <v>0</v>
      </c>
      <c r="AE261" s="345">
        <f t="shared" si="117"/>
        <v>0</v>
      </c>
      <c r="AF261" s="345">
        <f t="shared" ref="AF261:AL261" si="118">SUM(AF259:AF260)</f>
        <v>0</v>
      </c>
      <c r="AG261" s="345">
        <f t="shared" si="118"/>
        <v>0</v>
      </c>
      <c r="AH261" s="345">
        <f t="shared" si="118"/>
        <v>0</v>
      </c>
      <c r="AI261" s="345">
        <f t="shared" si="118"/>
        <v>0</v>
      </c>
      <c r="AJ261" s="345">
        <f t="shared" si="118"/>
        <v>0</v>
      </c>
      <c r="AK261" s="345">
        <f t="shared" si="118"/>
        <v>0</v>
      </c>
      <c r="AL261" s="345">
        <f t="shared" si="118"/>
        <v>0</v>
      </c>
      <c r="AM261" s="406">
        <f>SUM(AM259:AM260)</f>
        <v>209555.38220241002</v>
      </c>
    </row>
    <row r="262" spans="1:41" s="379" customFormat="1" ht="15.75">
      <c r="A262" s="506"/>
      <c r="B262" s="348" t="s">
        <v>247</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ref="Y262:AE262" si="119">Y256*Y258</f>
        <v>0</v>
      </c>
      <c r="Z262" s="346">
        <f t="shared" si="119"/>
        <v>0</v>
      </c>
      <c r="AA262" s="346">
        <f t="shared" si="119"/>
        <v>0</v>
      </c>
      <c r="AB262" s="346">
        <f t="shared" si="119"/>
        <v>0</v>
      </c>
      <c r="AC262" s="346">
        <f t="shared" si="119"/>
        <v>0</v>
      </c>
      <c r="AD262" s="346">
        <f t="shared" si="119"/>
        <v>0</v>
      </c>
      <c r="AE262" s="346">
        <f t="shared" si="119"/>
        <v>0</v>
      </c>
      <c r="AF262" s="346">
        <f t="shared" ref="AF262:AL262" si="120">AF256*AF258</f>
        <v>0</v>
      </c>
      <c r="AG262" s="346">
        <f t="shared" si="120"/>
        <v>0</v>
      </c>
      <c r="AH262" s="346">
        <f t="shared" si="120"/>
        <v>0</v>
      </c>
      <c r="AI262" s="346">
        <f t="shared" si="120"/>
        <v>0</v>
      </c>
      <c r="AJ262" s="346">
        <f t="shared" si="120"/>
        <v>0</v>
      </c>
      <c r="AK262" s="346">
        <f t="shared" si="120"/>
        <v>0</v>
      </c>
      <c r="AL262" s="346">
        <f t="shared" si="120"/>
        <v>0</v>
      </c>
      <c r="AM262" s="406">
        <f>SUM(Y262:AL262)</f>
        <v>0</v>
      </c>
    </row>
    <row r="263" spans="1:41" s="379" customFormat="1" ht="15.75">
      <c r="A263" s="506"/>
      <c r="B263" s="348" t="s">
        <v>255</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209555.38220241002</v>
      </c>
    </row>
    <row r="264" spans="1:41" ht="15">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1:41" ht="15">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1492401.3801861387</v>
      </c>
      <c r="Z265" s="291">
        <f>SUMPRODUCT(E150:E253,Z150:Z253)</f>
        <v>1455996.9950960567</v>
      </c>
      <c r="AA265" s="291">
        <f>IF(AA149="kW",SUMPRODUCT(N150:N253,P150:P253,AA150:AA253),SUMPRODUCT(E150:E253,AA150:AA253))</f>
        <v>9212.6249879706065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1:41" ht="15">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1492401.3801861387</v>
      </c>
      <c r="Z266" s="291">
        <f>SUMPRODUCT(F150:F253,Z150:Z253)</f>
        <v>1440155.1077669747</v>
      </c>
      <c r="AA266" s="291">
        <f>IF(AA149="kW",SUMPRODUCT(N150:N253,Q150:Q253,AA150:AA253),SUMPRODUCT(F150:F253,AA150:AA253))</f>
        <v>8994.7521002891008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1:41" ht="15">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1459822.8740298606</v>
      </c>
      <c r="Z267" s="291">
        <f>SUMPRODUCT(G150:G253,Z150:Z253)</f>
        <v>1319487.2088663392</v>
      </c>
      <c r="AA267" s="291">
        <f>IF(AA149="kW",SUMPRODUCT(N150:N253,R150:R253,AA150:AA253),SUMPRODUCT(G150:G253,AA150:AA253))</f>
        <v>8380.5173352628317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1:41" ht="15">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f>SUMPRODUCT(H150:H253,Y150:Y253)</f>
        <v>1341057.5700011968</v>
      </c>
      <c r="Z268" s="291">
        <f>SUMPRODUCT(H150:H253,Z150:Z253)</f>
        <v>1186917.642128506</v>
      </c>
      <c r="AA268" s="291">
        <f>IF(AA149="kW",SUMPRODUCT(N150:N253,S150:S253,AA150:AA253),SUMPRODUCT(H150:H253,AA150:AA253))</f>
        <v>8343.5683075407869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6"/>
    </row>
    <row r="269" spans="1:41" ht="15">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f>SUMPRODUCT(I150:I253,Y150:Y253)</f>
        <v>1191049.5776262509</v>
      </c>
      <c r="Z269" s="291">
        <f>SUMPRODUCT(I150:I253,Z150:Z253)</f>
        <v>866037.4375132164</v>
      </c>
      <c r="AA269" s="291">
        <f>IF(AA149="kW",SUMPRODUCT(N150:N253,T150:T253,AA150:AA253),SUMPRODUCT(I150:I253,AA150:AA253))</f>
        <v>7531.0858588329347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6"/>
    </row>
    <row r="270" spans="1:41" ht="15">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f>SUMPRODUCT(J150:J253,Y150:Y253)</f>
        <v>1068935.5827856762</v>
      </c>
      <c r="Z270" s="291">
        <f>SUMPRODUCT(J150:J253,Z150:Z253)</f>
        <v>851244.79912218614</v>
      </c>
      <c r="AA270" s="291">
        <f>IF(AA149="kW",SUMPRODUCT(N150:N253,U150:U253,AA150:AA253),SUMPRODUCT(J150:J253,AA150:AA253))</f>
        <v>7377.718115052292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f>SUMPRODUCT(K150:K253,Y150:Y253)</f>
        <v>1065685.6730747488</v>
      </c>
      <c r="Z271" s="291">
        <f>SUMPRODUCT(K150:K253,Z150:Z253)</f>
        <v>850200.07805512403</v>
      </c>
      <c r="AA271" s="291">
        <f>IF(AA149="kW",SUMPRODUCT(N150:N253,V150:V253,AA150:AA253),SUMPRODUCT(K150:K253,AA150:AA253))</f>
        <v>7377.718115052292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979613.67307474872</v>
      </c>
      <c r="Z272" s="325">
        <f>SUMPRODUCT(L150:L253,Z150:Z253)</f>
        <v>835088.22185211582</v>
      </c>
      <c r="AA272" s="325">
        <f>IF(AA149="kW",SUMPRODUCT(N150:N253,W150:W253,AA150:AA253),SUMPRODUCT(L150:L253,AA150:AA253))</f>
        <v>7125.4416484135381</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1:39" ht="15.75">
      <c r="B275" s="280" t="s">
        <v>248</v>
      </c>
      <c r="C275" s="281"/>
      <c r="D275" s="587" t="s">
        <v>526</v>
      </c>
      <c r="E275" s="585"/>
      <c r="O275" s="281"/>
      <c r="Y275" s="270"/>
      <c r="Z275" s="267"/>
      <c r="AA275" s="267"/>
      <c r="AB275" s="267"/>
      <c r="AC275" s="267"/>
      <c r="AD275" s="267"/>
      <c r="AE275" s="267"/>
      <c r="AF275" s="267"/>
      <c r="AG275" s="267"/>
      <c r="AH275" s="267"/>
      <c r="AI275" s="267"/>
      <c r="AJ275" s="267"/>
      <c r="AK275" s="267"/>
      <c r="AL275" s="267"/>
      <c r="AM275" s="282"/>
    </row>
    <row r="276" spans="1:39" ht="33" customHeight="1">
      <c r="B276" s="1199" t="s">
        <v>211</v>
      </c>
      <c r="C276" s="1201" t="s">
        <v>33</v>
      </c>
      <c r="D276" s="284" t="s">
        <v>422</v>
      </c>
      <c r="E276" s="1203" t="s">
        <v>209</v>
      </c>
      <c r="F276" s="1204"/>
      <c r="G276" s="1204"/>
      <c r="H276" s="1204"/>
      <c r="I276" s="1204"/>
      <c r="J276" s="1204"/>
      <c r="K276" s="1204"/>
      <c r="L276" s="1204"/>
      <c r="M276" s="1205"/>
      <c r="N276" s="1206" t="s">
        <v>213</v>
      </c>
      <c r="O276" s="284" t="s">
        <v>423</v>
      </c>
      <c r="P276" s="1203" t="s">
        <v>212</v>
      </c>
      <c r="Q276" s="1204"/>
      <c r="R276" s="1204"/>
      <c r="S276" s="1204"/>
      <c r="T276" s="1204"/>
      <c r="U276" s="1204"/>
      <c r="V276" s="1204"/>
      <c r="W276" s="1204"/>
      <c r="X276" s="1205"/>
      <c r="Y276" s="1196" t="s">
        <v>243</v>
      </c>
      <c r="Z276" s="1197"/>
      <c r="AA276" s="1197"/>
      <c r="AB276" s="1197"/>
      <c r="AC276" s="1197"/>
      <c r="AD276" s="1197"/>
      <c r="AE276" s="1197"/>
      <c r="AF276" s="1197"/>
      <c r="AG276" s="1197"/>
      <c r="AH276" s="1197"/>
      <c r="AI276" s="1197"/>
      <c r="AJ276" s="1197"/>
      <c r="AK276" s="1197"/>
      <c r="AL276" s="1197"/>
      <c r="AM276" s="1198"/>
    </row>
    <row r="277" spans="1:39" ht="60.75" customHeight="1">
      <c r="B277" s="1200"/>
      <c r="C277" s="1202"/>
      <c r="D277" s="285">
        <v>2013</v>
      </c>
      <c r="E277" s="285">
        <v>2014</v>
      </c>
      <c r="F277" s="285">
        <v>2015</v>
      </c>
      <c r="G277" s="285">
        <v>2016</v>
      </c>
      <c r="H277" s="285">
        <v>2017</v>
      </c>
      <c r="I277" s="285">
        <v>2018</v>
      </c>
      <c r="J277" s="285">
        <v>2019</v>
      </c>
      <c r="K277" s="285">
        <v>2020</v>
      </c>
      <c r="L277" s="285">
        <v>2021</v>
      </c>
      <c r="M277" s="285">
        <v>2022</v>
      </c>
      <c r="N277" s="120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 50 kW</v>
      </c>
      <c r="AB277" s="285" t="str">
        <f>'1.  LRAMVA Summary'!G52</f>
        <v>Streetlighting kW</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5"/>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4">
        <v>1</v>
      </c>
      <c r="B279" s="294" t="s">
        <v>1</v>
      </c>
      <c r="C279" s="291" t="s">
        <v>25</v>
      </c>
      <c r="D279" s="295">
        <f>+'7.  Persistence Report'!AS113+'7.  Persistence Report'!AS123</f>
        <v>77216.335943180704</v>
      </c>
      <c r="E279" s="295">
        <f>+'7.  Persistence Report'!AT113+'7.  Persistence Report'!AT123</f>
        <v>77216.335943180704</v>
      </c>
      <c r="F279" s="295">
        <f>+'7.  Persistence Report'!AU113+'7.  Persistence Report'!AU123</f>
        <v>77216.335943180704</v>
      </c>
      <c r="G279" s="295">
        <f>+'7.  Persistence Report'!AV113+'7.  Persistence Report'!AV123</f>
        <v>77011.246906513697</v>
      </c>
      <c r="H279" s="295">
        <f>+'7.  Persistence Report'!AW113+'7.  Persistence Report'!AW123</f>
        <v>43823.32686955668</v>
      </c>
      <c r="I279" s="295">
        <f>+'7.  Persistence Report'!AX113+'7.  Persistence Report'!AX123</f>
        <v>0</v>
      </c>
      <c r="J279" s="295">
        <f>+'7.  Persistence Report'!AY113+'7.  Persistence Report'!AY123</f>
        <v>0</v>
      </c>
      <c r="K279" s="295">
        <f>+'7.  Persistence Report'!AZ113+'7.  Persistence Report'!AZ123</f>
        <v>0</v>
      </c>
      <c r="L279" s="295">
        <f>+'7.  Persistence Report'!BA113+'7.  Persistence Report'!BA123</f>
        <v>0</v>
      </c>
      <c r="M279" s="295">
        <f>+'7.  Persistence Report'!BB113+'7.  Persistence Report'!BB123</f>
        <v>0</v>
      </c>
      <c r="N279" s="758"/>
      <c r="O279" s="295">
        <f>+'7.  Persistence Report'!N113+'7.  Persistence Report'!N123</f>
        <v>12.113740601403462</v>
      </c>
      <c r="P279" s="295">
        <f>+'7.  Persistence Report'!O113+'7.  Persistence Report'!O123</f>
        <v>12.113740601403462</v>
      </c>
      <c r="Q279" s="295">
        <f>+'7.  Persistence Report'!P113+'7.  Persistence Report'!P123</f>
        <v>12.113740601403462</v>
      </c>
      <c r="R279" s="295">
        <f>+'7.  Persistence Report'!Q113+'7.  Persistence Report'!Q123</f>
        <v>11.904172542403462</v>
      </c>
      <c r="S279" s="295">
        <f>+'7.  Persistence Report'!R113+'7.  Persistence Report'!R123</f>
        <v>6.4406617817041312</v>
      </c>
      <c r="T279" s="295">
        <f>+'7.  Persistence Report'!S113+'7.  Persistence Report'!S123</f>
        <v>0</v>
      </c>
      <c r="U279" s="295">
        <f>+'7.  Persistence Report'!T113+'7.  Persistence Report'!T123</f>
        <v>0</v>
      </c>
      <c r="V279" s="295">
        <f>+'7.  Persistence Report'!U113+'7.  Persistence Report'!U123</f>
        <v>0</v>
      </c>
      <c r="W279" s="295">
        <f>+'7.  Persistence Report'!V113+'7.  Persistence Report'!V123</f>
        <v>0</v>
      </c>
      <c r="X279" s="295">
        <f>+'7.  Persistence Report'!W113+'7.  Persistence Report'!W123</f>
        <v>0</v>
      </c>
      <c r="Y279" s="772">
        <v>1</v>
      </c>
      <c r="Z279" s="772"/>
      <c r="AA279" s="772"/>
      <c r="AB279" s="409"/>
      <c r="AC279" s="409"/>
      <c r="AD279" s="409"/>
      <c r="AE279" s="409"/>
      <c r="AF279" s="409"/>
      <c r="AG279" s="409"/>
      <c r="AH279" s="409"/>
      <c r="AI279" s="409"/>
      <c r="AJ279" s="409"/>
      <c r="AK279" s="409"/>
      <c r="AL279" s="409"/>
      <c r="AM279" s="296">
        <f>SUM(Y279:AL279)</f>
        <v>1</v>
      </c>
    </row>
    <row r="280" spans="1:39" ht="15" outlineLevel="1">
      <c r="B280" s="294" t="s">
        <v>249</v>
      </c>
      <c r="C280" s="291" t="s">
        <v>163</v>
      </c>
      <c r="D280" s="295"/>
      <c r="E280" s="295"/>
      <c r="F280" s="295"/>
      <c r="G280" s="295"/>
      <c r="H280" s="295"/>
      <c r="I280" s="295"/>
      <c r="J280" s="295"/>
      <c r="K280" s="295"/>
      <c r="L280" s="295"/>
      <c r="M280" s="295"/>
      <c r="N280" s="759"/>
      <c r="O280" s="295"/>
      <c r="P280" s="295"/>
      <c r="Q280" s="295"/>
      <c r="R280" s="295"/>
      <c r="S280" s="295"/>
      <c r="T280" s="295"/>
      <c r="U280" s="295"/>
      <c r="V280" s="295"/>
      <c r="W280" s="295"/>
      <c r="X280" s="295"/>
      <c r="Y280" s="776">
        <f>Y279</f>
        <v>1</v>
      </c>
      <c r="Z280" s="776">
        <f>Z279</f>
        <v>0</v>
      </c>
      <c r="AA280" s="776">
        <f t="shared" ref="AA280" si="121">AA279</f>
        <v>0</v>
      </c>
      <c r="AB280" s="410">
        <f t="shared" ref="AB280:AL280" si="122">AB279</f>
        <v>0</v>
      </c>
      <c r="AC280" s="410">
        <f t="shared" si="122"/>
        <v>0</v>
      </c>
      <c r="AD280" s="410">
        <f t="shared" si="122"/>
        <v>0</v>
      </c>
      <c r="AE280" s="410">
        <f t="shared" si="122"/>
        <v>0</v>
      </c>
      <c r="AF280" s="410">
        <f t="shared" si="122"/>
        <v>0</v>
      </c>
      <c r="AG280" s="410">
        <f t="shared" si="122"/>
        <v>0</v>
      </c>
      <c r="AH280" s="410">
        <f t="shared" si="122"/>
        <v>0</v>
      </c>
      <c r="AI280" s="410">
        <f t="shared" si="122"/>
        <v>0</v>
      </c>
      <c r="AJ280" s="410">
        <f t="shared" si="122"/>
        <v>0</v>
      </c>
      <c r="AK280" s="410">
        <f t="shared" si="122"/>
        <v>0</v>
      </c>
      <c r="AL280" s="410">
        <f t="shared" si="122"/>
        <v>0</v>
      </c>
      <c r="AM280" s="297"/>
    </row>
    <row r="281" spans="1:39" ht="15.75" outlineLevel="1">
      <c r="A281" s="506"/>
      <c r="B281" s="298"/>
      <c r="C281" s="299"/>
      <c r="D281" s="783"/>
      <c r="E281" s="783"/>
      <c r="F281" s="783"/>
      <c r="G281" s="783"/>
      <c r="H281" s="783"/>
      <c r="I281" s="783"/>
      <c r="J281" s="783"/>
      <c r="K281" s="783"/>
      <c r="L281" s="783"/>
      <c r="M281" s="783"/>
      <c r="N281" s="303"/>
      <c r="O281" s="783"/>
      <c r="P281" s="783"/>
      <c r="Q281" s="783"/>
      <c r="R281" s="783"/>
      <c r="S281" s="783"/>
      <c r="T281" s="783"/>
      <c r="U281" s="783"/>
      <c r="V281" s="783"/>
      <c r="W281" s="783"/>
      <c r="X281" s="783"/>
      <c r="Y281" s="777"/>
      <c r="Z281" s="820"/>
      <c r="AA281" s="820"/>
      <c r="AB281" s="412"/>
      <c r="AC281" s="412"/>
      <c r="AD281" s="412"/>
      <c r="AE281" s="412"/>
      <c r="AF281" s="412"/>
      <c r="AG281" s="412"/>
      <c r="AH281" s="412"/>
      <c r="AI281" s="412"/>
      <c r="AJ281" s="412"/>
      <c r="AK281" s="412"/>
      <c r="AL281" s="412"/>
      <c r="AM281" s="302"/>
    </row>
    <row r="282" spans="1:39" ht="15" outlineLevel="1">
      <c r="A282" s="504">
        <v>2</v>
      </c>
      <c r="B282" s="294" t="s">
        <v>2</v>
      </c>
      <c r="C282" s="291" t="s">
        <v>25</v>
      </c>
      <c r="D282" s="295">
        <f>+'7.  Persistence Report'!AS112</f>
        <v>32141.269380000005</v>
      </c>
      <c r="E282" s="295">
        <f>+'7.  Persistence Report'!AT112</f>
        <v>32141.269380000005</v>
      </c>
      <c r="F282" s="295">
        <f>+'7.  Persistence Report'!AU112</f>
        <v>32141.269380000005</v>
      </c>
      <c r="G282" s="295">
        <f>+'7.  Persistence Report'!AV112</f>
        <v>32141.269380000005</v>
      </c>
      <c r="H282" s="295">
        <f>+'7.  Persistence Report'!AW112</f>
        <v>0</v>
      </c>
      <c r="I282" s="295">
        <f>+'7.  Persistence Report'!AX112</f>
        <v>0</v>
      </c>
      <c r="J282" s="295">
        <f>+'7.  Persistence Report'!AY112</f>
        <v>0</v>
      </c>
      <c r="K282" s="295">
        <f>+'7.  Persistence Report'!AZ112</f>
        <v>0</v>
      </c>
      <c r="L282" s="295">
        <f>+'7.  Persistence Report'!BA112</f>
        <v>0</v>
      </c>
      <c r="M282" s="295">
        <f>+'7.  Persistence Report'!BB112</f>
        <v>0</v>
      </c>
      <c r="N282" s="758"/>
      <c r="O282" s="295">
        <f>+'7.  Persistence Report'!N112</f>
        <v>18.025886620000001</v>
      </c>
      <c r="P282" s="295">
        <f>+'7.  Persistence Report'!O112</f>
        <v>18.025886620000001</v>
      </c>
      <c r="Q282" s="295">
        <f>+'7.  Persistence Report'!P112</f>
        <v>18.025886620000001</v>
      </c>
      <c r="R282" s="295">
        <f>+'7.  Persistence Report'!Q112</f>
        <v>18.025886620000001</v>
      </c>
      <c r="S282" s="295">
        <f>+'7.  Persistence Report'!R112</f>
        <v>0</v>
      </c>
      <c r="T282" s="295">
        <f>+'7.  Persistence Report'!S112</f>
        <v>0</v>
      </c>
      <c r="U282" s="295">
        <f>+'7.  Persistence Report'!T112</f>
        <v>0</v>
      </c>
      <c r="V282" s="295">
        <f>+'7.  Persistence Report'!U112</f>
        <v>0</v>
      </c>
      <c r="W282" s="295">
        <f>+'7.  Persistence Report'!V112</f>
        <v>0</v>
      </c>
      <c r="X282" s="295">
        <f>+'7.  Persistence Report'!W112</f>
        <v>0</v>
      </c>
      <c r="Y282" s="772">
        <v>1</v>
      </c>
      <c r="Z282" s="772"/>
      <c r="AA282" s="772"/>
      <c r="AB282" s="409"/>
      <c r="AC282" s="409"/>
      <c r="AD282" s="409"/>
      <c r="AE282" s="409"/>
      <c r="AF282" s="409"/>
      <c r="AG282" s="409"/>
      <c r="AH282" s="409"/>
      <c r="AI282" s="409"/>
      <c r="AJ282" s="409"/>
      <c r="AK282" s="409"/>
      <c r="AL282" s="409"/>
      <c r="AM282" s="296">
        <f>SUM(Y282:AL282)</f>
        <v>1</v>
      </c>
    </row>
    <row r="283" spans="1:39" ht="15" outlineLevel="1">
      <c r="B283" s="294" t="s">
        <v>249</v>
      </c>
      <c r="C283" s="291" t="s">
        <v>163</v>
      </c>
      <c r="D283" s="295"/>
      <c r="E283" s="295"/>
      <c r="F283" s="295"/>
      <c r="G283" s="295"/>
      <c r="H283" s="295"/>
      <c r="I283" s="295"/>
      <c r="J283" s="295"/>
      <c r="K283" s="295"/>
      <c r="L283" s="295"/>
      <c r="M283" s="295"/>
      <c r="N283" s="759"/>
      <c r="O283" s="295"/>
      <c r="P283" s="295"/>
      <c r="Q283" s="295"/>
      <c r="R283" s="295"/>
      <c r="S283" s="295"/>
      <c r="T283" s="295"/>
      <c r="U283" s="295"/>
      <c r="V283" s="295"/>
      <c r="W283" s="295"/>
      <c r="X283" s="295"/>
      <c r="Y283" s="776">
        <f>Y282</f>
        <v>1</v>
      </c>
      <c r="Z283" s="776">
        <f>Z282</f>
        <v>0</v>
      </c>
      <c r="AA283" s="776">
        <f t="shared" ref="AA283" si="123">AA282</f>
        <v>0</v>
      </c>
      <c r="AB283" s="410">
        <f t="shared" ref="AB283:AL283" si="124">AB282</f>
        <v>0</v>
      </c>
      <c r="AC283" s="410">
        <f t="shared" si="124"/>
        <v>0</v>
      </c>
      <c r="AD283" s="410">
        <f t="shared" si="124"/>
        <v>0</v>
      </c>
      <c r="AE283" s="410">
        <f t="shared" si="124"/>
        <v>0</v>
      </c>
      <c r="AF283" s="410">
        <f t="shared" si="124"/>
        <v>0</v>
      </c>
      <c r="AG283" s="410">
        <f t="shared" si="124"/>
        <v>0</v>
      </c>
      <c r="AH283" s="410">
        <f t="shared" si="124"/>
        <v>0</v>
      </c>
      <c r="AI283" s="410">
        <f t="shared" si="124"/>
        <v>0</v>
      </c>
      <c r="AJ283" s="410">
        <f t="shared" si="124"/>
        <v>0</v>
      </c>
      <c r="AK283" s="410">
        <f t="shared" si="124"/>
        <v>0</v>
      </c>
      <c r="AL283" s="410">
        <f t="shared" si="124"/>
        <v>0</v>
      </c>
      <c r="AM283" s="297"/>
    </row>
    <row r="284" spans="1:39" ht="15.75" outlineLevel="1">
      <c r="A284" s="506"/>
      <c r="B284" s="298"/>
      <c r="C284" s="299"/>
      <c r="D284" s="760"/>
      <c r="E284" s="760"/>
      <c r="F284" s="760"/>
      <c r="G284" s="760"/>
      <c r="H284" s="760"/>
      <c r="I284" s="760"/>
      <c r="J284" s="760"/>
      <c r="K284" s="760"/>
      <c r="L284" s="760"/>
      <c r="M284" s="760"/>
      <c r="N284" s="303"/>
      <c r="O284" s="760"/>
      <c r="P284" s="760"/>
      <c r="Q284" s="760"/>
      <c r="R284" s="760"/>
      <c r="S284" s="760"/>
      <c r="T284" s="760"/>
      <c r="U284" s="760"/>
      <c r="V284" s="760"/>
      <c r="W284" s="760"/>
      <c r="X284" s="760"/>
      <c r="Y284" s="777"/>
      <c r="Z284" s="820"/>
      <c r="AA284" s="820"/>
      <c r="AB284" s="412"/>
      <c r="AC284" s="412"/>
      <c r="AD284" s="412"/>
      <c r="AE284" s="412"/>
      <c r="AF284" s="412"/>
      <c r="AG284" s="412"/>
      <c r="AH284" s="412"/>
      <c r="AI284" s="412"/>
      <c r="AJ284" s="412"/>
      <c r="AK284" s="412"/>
      <c r="AL284" s="412"/>
      <c r="AM284" s="302"/>
    </row>
    <row r="285" spans="1:39" ht="15" outlineLevel="1">
      <c r="A285" s="504">
        <v>3</v>
      </c>
      <c r="B285" s="294" t="s">
        <v>3</v>
      </c>
      <c r="C285" s="291" t="s">
        <v>25</v>
      </c>
      <c r="D285" s="295">
        <f>+'7.  Persistence Report'!AS116</f>
        <v>679618.46357708296</v>
      </c>
      <c r="E285" s="295">
        <f>+'7.  Persistence Report'!AT116</f>
        <v>679618.46357708296</v>
      </c>
      <c r="F285" s="295">
        <f>+'7.  Persistence Report'!AU116</f>
        <v>679618.46357708296</v>
      </c>
      <c r="G285" s="295">
        <f>+'7.  Persistence Report'!AV116</f>
        <v>679618.46357708296</v>
      </c>
      <c r="H285" s="295">
        <f>+'7.  Persistence Report'!AW116</f>
        <v>679618.46357708296</v>
      </c>
      <c r="I285" s="295">
        <f>+'7.  Persistence Report'!AX116</f>
        <v>679618.46357708296</v>
      </c>
      <c r="J285" s="295">
        <f>+'7.  Persistence Report'!AY116</f>
        <v>679618.46357708296</v>
      </c>
      <c r="K285" s="295">
        <f>+'7.  Persistence Report'!AZ116</f>
        <v>679618.46357708296</v>
      </c>
      <c r="L285" s="295">
        <f>+'7.  Persistence Report'!BA116</f>
        <v>679618.46357708296</v>
      </c>
      <c r="M285" s="295">
        <f>+'7.  Persistence Report'!BB116</f>
        <v>679618.46357708296</v>
      </c>
      <c r="N285" s="758"/>
      <c r="O285" s="295">
        <f>+'7.  Persistence Report'!N116</f>
        <v>393.47744114799997</v>
      </c>
      <c r="P285" s="295">
        <f>+'7.  Persistence Report'!O116</f>
        <v>393.47744114799997</v>
      </c>
      <c r="Q285" s="295">
        <f>+'7.  Persistence Report'!P116</f>
        <v>393.47744114799997</v>
      </c>
      <c r="R285" s="295">
        <f>+'7.  Persistence Report'!Q116</f>
        <v>393.47744114799997</v>
      </c>
      <c r="S285" s="295">
        <f>+'7.  Persistence Report'!R116</f>
        <v>393.47744114799997</v>
      </c>
      <c r="T285" s="295">
        <f>+'7.  Persistence Report'!S116</f>
        <v>393.47744114799997</v>
      </c>
      <c r="U285" s="295">
        <f>+'7.  Persistence Report'!T116</f>
        <v>393.47744114799997</v>
      </c>
      <c r="V285" s="295">
        <f>+'7.  Persistence Report'!U116</f>
        <v>393.47744114799997</v>
      </c>
      <c r="W285" s="295">
        <f>+'7.  Persistence Report'!V116</f>
        <v>393.47744114799997</v>
      </c>
      <c r="X285" s="295">
        <f>+'7.  Persistence Report'!W116</f>
        <v>393.47744114799997</v>
      </c>
      <c r="Y285" s="772">
        <v>1</v>
      </c>
      <c r="Z285" s="772"/>
      <c r="AA285" s="772"/>
      <c r="AB285" s="409"/>
      <c r="AC285" s="409"/>
      <c r="AD285" s="409"/>
      <c r="AE285" s="409"/>
      <c r="AF285" s="409"/>
      <c r="AG285" s="409"/>
      <c r="AH285" s="409"/>
      <c r="AI285" s="409"/>
      <c r="AJ285" s="409"/>
      <c r="AK285" s="409"/>
      <c r="AL285" s="409"/>
      <c r="AM285" s="296">
        <f>SUM(Y285:AL285)</f>
        <v>1</v>
      </c>
    </row>
    <row r="286" spans="1:39" ht="15" outlineLevel="1">
      <c r="B286" s="294" t="s">
        <v>249</v>
      </c>
      <c r="C286" s="291" t="s">
        <v>163</v>
      </c>
      <c r="D286" s="295">
        <f>+'7.  Persistence Report'!AS130</f>
        <v>31728.368681300002</v>
      </c>
      <c r="E286" s="295">
        <f>+'7.  Persistence Report'!AT130</f>
        <v>31728.368681300002</v>
      </c>
      <c r="F286" s="295">
        <f>+'7.  Persistence Report'!AU130</f>
        <v>31728.368681300002</v>
      </c>
      <c r="G286" s="295">
        <f>+'7.  Persistence Report'!AV130</f>
        <v>31728.368681300002</v>
      </c>
      <c r="H286" s="295">
        <f>+'7.  Persistence Report'!AW130</f>
        <v>31728.368681300002</v>
      </c>
      <c r="I286" s="295">
        <f>+'7.  Persistence Report'!AX130</f>
        <v>31728.368681300002</v>
      </c>
      <c r="J286" s="295">
        <f>+'7.  Persistence Report'!AY130</f>
        <v>31728.368681300002</v>
      </c>
      <c r="K286" s="295">
        <f>+'7.  Persistence Report'!AZ130</f>
        <v>31728.368681300002</v>
      </c>
      <c r="L286" s="295">
        <f>+'7.  Persistence Report'!BA130</f>
        <v>31728.368681300002</v>
      </c>
      <c r="M286" s="295">
        <f>+'7.  Persistence Report'!BB130</f>
        <v>31728.368681300002</v>
      </c>
      <c r="N286" s="759"/>
      <c r="O286" s="295">
        <f>+'7.  Persistence Report'!N130</f>
        <v>17.924923391</v>
      </c>
      <c r="P286" s="295">
        <f>+'7.  Persistence Report'!O130</f>
        <v>17.924923391</v>
      </c>
      <c r="Q286" s="295">
        <f>+'7.  Persistence Report'!P130</f>
        <v>17.924923391</v>
      </c>
      <c r="R286" s="295">
        <f>+'7.  Persistence Report'!Q130</f>
        <v>17.924923391</v>
      </c>
      <c r="S286" s="295">
        <f>+'7.  Persistence Report'!R130</f>
        <v>17.924923391</v>
      </c>
      <c r="T286" s="295">
        <f>+'7.  Persistence Report'!S130</f>
        <v>17.924923391</v>
      </c>
      <c r="U286" s="295">
        <f>+'7.  Persistence Report'!T130</f>
        <v>17.924923391</v>
      </c>
      <c r="V286" s="295">
        <f>+'7.  Persistence Report'!U130</f>
        <v>17.924923391</v>
      </c>
      <c r="W286" s="295">
        <f>+'7.  Persistence Report'!V130</f>
        <v>17.924923391</v>
      </c>
      <c r="X286" s="295">
        <f>+'7.  Persistence Report'!W130</f>
        <v>17.924923391</v>
      </c>
      <c r="Y286" s="776">
        <f>Y285</f>
        <v>1</v>
      </c>
      <c r="Z286" s="776">
        <f>Z285</f>
        <v>0</v>
      </c>
      <c r="AA286" s="776">
        <f t="shared" ref="AA286" si="125">AA285</f>
        <v>0</v>
      </c>
      <c r="AB286" s="410">
        <f t="shared" ref="AB286:AL286" si="126">AB285</f>
        <v>0</v>
      </c>
      <c r="AC286" s="410">
        <f t="shared" si="126"/>
        <v>0</v>
      </c>
      <c r="AD286" s="410">
        <f t="shared" si="126"/>
        <v>0</v>
      </c>
      <c r="AE286" s="410">
        <f t="shared" si="126"/>
        <v>0</v>
      </c>
      <c r="AF286" s="410">
        <f t="shared" si="126"/>
        <v>0</v>
      </c>
      <c r="AG286" s="410">
        <f t="shared" si="126"/>
        <v>0</v>
      </c>
      <c r="AH286" s="410">
        <f t="shared" si="126"/>
        <v>0</v>
      </c>
      <c r="AI286" s="410">
        <f t="shared" si="126"/>
        <v>0</v>
      </c>
      <c r="AJ286" s="410">
        <f t="shared" si="126"/>
        <v>0</v>
      </c>
      <c r="AK286" s="410">
        <f t="shared" si="126"/>
        <v>0</v>
      </c>
      <c r="AL286" s="410">
        <f t="shared" si="126"/>
        <v>0</v>
      </c>
      <c r="AM286" s="297"/>
    </row>
    <row r="287" spans="1:39" ht="15" outlineLevel="1">
      <c r="B287" s="294"/>
      <c r="C287" s="305"/>
      <c r="D287" s="758"/>
      <c r="E287" s="758"/>
      <c r="F287" s="758"/>
      <c r="G287" s="758"/>
      <c r="H287" s="758"/>
      <c r="I287" s="758"/>
      <c r="J287" s="758"/>
      <c r="K287" s="758"/>
      <c r="L287" s="758"/>
      <c r="M287" s="758"/>
      <c r="N287" s="283"/>
      <c r="O287" s="758"/>
      <c r="P287" s="758"/>
      <c r="Q287" s="758"/>
      <c r="R287" s="758"/>
      <c r="S287" s="758"/>
      <c r="T287" s="758"/>
      <c r="U287" s="758"/>
      <c r="V287" s="758"/>
      <c r="W287" s="758"/>
      <c r="X287" s="758"/>
      <c r="Y287" s="777"/>
      <c r="Z287" s="777"/>
      <c r="AA287" s="777"/>
      <c r="AB287" s="411"/>
      <c r="AC287" s="411"/>
      <c r="AD287" s="411"/>
      <c r="AE287" s="411"/>
      <c r="AF287" s="411"/>
      <c r="AG287" s="411"/>
      <c r="AH287" s="411"/>
      <c r="AI287" s="411"/>
      <c r="AJ287" s="411"/>
      <c r="AK287" s="411"/>
      <c r="AL287" s="411"/>
      <c r="AM287" s="306"/>
    </row>
    <row r="288" spans="1:39" ht="15" outlineLevel="1">
      <c r="A288" s="504">
        <v>4</v>
      </c>
      <c r="B288" s="294" t="s">
        <v>4</v>
      </c>
      <c r="C288" s="291" t="s">
        <v>25</v>
      </c>
      <c r="D288" s="295">
        <f>+'7.  Persistence Report'!AS111</f>
        <v>125711.367472225</v>
      </c>
      <c r="E288" s="295">
        <f>+'7.  Persistence Report'!AT111</f>
        <v>125711.367472225</v>
      </c>
      <c r="F288" s="295">
        <f>+'7.  Persistence Report'!AU111</f>
        <v>120866.96959938999</v>
      </c>
      <c r="G288" s="295">
        <f>+'7.  Persistence Report'!AV111</f>
        <v>102399.265479921</v>
      </c>
      <c r="H288" s="295">
        <f>+'7.  Persistence Report'!AW111</f>
        <v>102399.265479921</v>
      </c>
      <c r="I288" s="295">
        <f>+'7.  Persistence Report'!AX111</f>
        <v>102399.265479921</v>
      </c>
      <c r="J288" s="295">
        <f>+'7.  Persistence Report'!AY111</f>
        <v>102399.265479921</v>
      </c>
      <c r="K288" s="295">
        <f>+'7.  Persistence Report'!AZ111</f>
        <v>102313.92643952899</v>
      </c>
      <c r="L288" s="295">
        <f>+'7.  Persistence Report'!BA111</f>
        <v>74399.421653256999</v>
      </c>
      <c r="M288" s="295">
        <f>+'7.  Persistence Report'!BB111</f>
        <v>74399.421653256999</v>
      </c>
      <c r="N288" s="758"/>
      <c r="O288" s="295">
        <f>+'7.  Persistence Report'!N111</f>
        <v>8.4255721040000005</v>
      </c>
      <c r="P288" s="295">
        <f>+'7.  Persistence Report'!O111</f>
        <v>8.4255721040000005</v>
      </c>
      <c r="Q288" s="295">
        <f>+'7.  Persistence Report'!P111</f>
        <v>8.1214538899999997</v>
      </c>
      <c r="R288" s="295">
        <f>+'7.  Persistence Report'!Q111</f>
        <v>6.962101305</v>
      </c>
      <c r="S288" s="295">
        <f>+'7.  Persistence Report'!R111</f>
        <v>6.962101305</v>
      </c>
      <c r="T288" s="295">
        <f>+'7.  Persistence Report'!S111</f>
        <v>6.962101305</v>
      </c>
      <c r="U288" s="295">
        <f>+'7.  Persistence Report'!T111</f>
        <v>6.962101305</v>
      </c>
      <c r="V288" s="295">
        <f>+'7.  Persistence Report'!U111</f>
        <v>6.9523594060000002</v>
      </c>
      <c r="W288" s="295">
        <f>+'7.  Persistence Report'!V111</f>
        <v>5.199962191</v>
      </c>
      <c r="X288" s="295">
        <f>+'7.  Persistence Report'!W111</f>
        <v>5.199962191</v>
      </c>
      <c r="Y288" s="772">
        <v>1</v>
      </c>
      <c r="Z288" s="772"/>
      <c r="AA288" s="772"/>
      <c r="AB288" s="409"/>
      <c r="AC288" s="409"/>
      <c r="AD288" s="409"/>
      <c r="AE288" s="409"/>
      <c r="AF288" s="409"/>
      <c r="AG288" s="409"/>
      <c r="AH288" s="409"/>
      <c r="AI288" s="409"/>
      <c r="AJ288" s="409"/>
      <c r="AK288" s="409"/>
      <c r="AL288" s="409"/>
      <c r="AM288" s="296">
        <f>SUM(Y288:AL288)</f>
        <v>1</v>
      </c>
    </row>
    <row r="289" spans="1:39" ht="15" outlineLevel="1">
      <c r="B289" s="294" t="s">
        <v>249</v>
      </c>
      <c r="C289" s="291" t="s">
        <v>163</v>
      </c>
      <c r="D289" s="295">
        <f>+'7.  Persistence Report'!AS128</f>
        <v>385</v>
      </c>
      <c r="E289" s="295">
        <f>+'7.  Persistence Report'!AT128</f>
        <v>385</v>
      </c>
      <c r="F289" s="295">
        <f>+'7.  Persistence Report'!AU128</f>
        <v>366</v>
      </c>
      <c r="G289" s="295">
        <f>+'7.  Persistence Report'!AV128</f>
        <v>316</v>
      </c>
      <c r="H289" s="295">
        <f>+'7.  Persistence Report'!AW128</f>
        <v>316</v>
      </c>
      <c r="I289" s="295">
        <f>+'7.  Persistence Report'!AX128</f>
        <v>316</v>
      </c>
      <c r="J289" s="295">
        <f>+'7.  Persistence Report'!AY128</f>
        <v>316</v>
      </c>
      <c r="K289" s="295">
        <f>+'7.  Persistence Report'!AZ128</f>
        <v>316</v>
      </c>
      <c r="L289" s="295">
        <f>+'7.  Persistence Report'!BA128</f>
        <v>265</v>
      </c>
      <c r="M289" s="295">
        <f>+'7.  Persistence Report'!BB128</f>
        <v>265</v>
      </c>
      <c r="N289" s="759"/>
      <c r="O289" s="295">
        <f>+'7.  Persistence Report'!N128</f>
        <v>2.7E-2</v>
      </c>
      <c r="P289" s="295">
        <f>+'7.  Persistence Report'!O128</f>
        <v>2.7E-2</v>
      </c>
      <c r="Q289" s="295">
        <f>+'7.  Persistence Report'!P128</f>
        <v>2.5999999999999999E-2</v>
      </c>
      <c r="R289" s="295">
        <f>+'7.  Persistence Report'!Q128</f>
        <v>2.3E-2</v>
      </c>
      <c r="S289" s="295">
        <f>+'7.  Persistence Report'!R128</f>
        <v>2.3E-2</v>
      </c>
      <c r="T289" s="295">
        <f>+'7.  Persistence Report'!S128</f>
        <v>2.3E-2</v>
      </c>
      <c r="U289" s="295">
        <f>+'7.  Persistence Report'!T128</f>
        <v>2.3E-2</v>
      </c>
      <c r="V289" s="295">
        <f>+'7.  Persistence Report'!U128</f>
        <v>2.3E-2</v>
      </c>
      <c r="W289" s="295">
        <f>+'7.  Persistence Report'!V128</f>
        <v>0.02</v>
      </c>
      <c r="X289" s="295">
        <f>+'7.  Persistence Report'!W128</f>
        <v>0.02</v>
      </c>
      <c r="Y289" s="776">
        <f>Y288</f>
        <v>1</v>
      </c>
      <c r="Z289" s="776">
        <f>Z288</f>
        <v>0</v>
      </c>
      <c r="AA289" s="776">
        <f t="shared" ref="AA289" si="127">AA288</f>
        <v>0</v>
      </c>
      <c r="AB289" s="410">
        <f t="shared" ref="AB289:AL289" si="128">AB288</f>
        <v>0</v>
      </c>
      <c r="AC289" s="410">
        <f t="shared" si="128"/>
        <v>0</v>
      </c>
      <c r="AD289" s="410">
        <f t="shared" si="128"/>
        <v>0</v>
      </c>
      <c r="AE289" s="410">
        <f t="shared" si="128"/>
        <v>0</v>
      </c>
      <c r="AF289" s="410">
        <f t="shared" si="128"/>
        <v>0</v>
      </c>
      <c r="AG289" s="410">
        <f t="shared" si="128"/>
        <v>0</v>
      </c>
      <c r="AH289" s="410">
        <f t="shared" si="128"/>
        <v>0</v>
      </c>
      <c r="AI289" s="410">
        <f t="shared" si="128"/>
        <v>0</v>
      </c>
      <c r="AJ289" s="410">
        <f t="shared" si="128"/>
        <v>0</v>
      </c>
      <c r="AK289" s="410">
        <f t="shared" si="128"/>
        <v>0</v>
      </c>
      <c r="AL289" s="410">
        <f t="shared" si="128"/>
        <v>0</v>
      </c>
      <c r="AM289" s="297"/>
    </row>
    <row r="290" spans="1:39" ht="15" outlineLevel="1">
      <c r="B290" s="294"/>
      <c r="C290" s="305"/>
      <c r="D290" s="760"/>
      <c r="E290" s="760"/>
      <c r="F290" s="760"/>
      <c r="G290" s="760"/>
      <c r="H290" s="760"/>
      <c r="I290" s="760"/>
      <c r="J290" s="760"/>
      <c r="K290" s="760"/>
      <c r="L290" s="760"/>
      <c r="M290" s="760"/>
      <c r="N290" s="758"/>
      <c r="O290" s="760"/>
      <c r="P290" s="760"/>
      <c r="Q290" s="760"/>
      <c r="R290" s="760"/>
      <c r="S290" s="760"/>
      <c r="T290" s="760"/>
      <c r="U290" s="760"/>
      <c r="V290" s="760"/>
      <c r="W290" s="760"/>
      <c r="X290" s="760"/>
      <c r="Y290" s="777"/>
      <c r="Z290" s="777"/>
      <c r="AA290" s="777"/>
      <c r="AB290" s="411"/>
      <c r="AC290" s="411"/>
      <c r="AD290" s="411"/>
      <c r="AE290" s="411"/>
      <c r="AF290" s="411"/>
      <c r="AG290" s="411"/>
      <c r="AH290" s="411"/>
      <c r="AI290" s="411"/>
      <c r="AJ290" s="411"/>
      <c r="AK290" s="411"/>
      <c r="AL290" s="411"/>
      <c r="AM290" s="306"/>
    </row>
    <row r="291" spans="1:39" ht="15" outlineLevel="1">
      <c r="A291" s="504">
        <v>5</v>
      </c>
      <c r="B291" s="294" t="s">
        <v>5</v>
      </c>
      <c r="C291" s="291" t="s">
        <v>25</v>
      </c>
      <c r="D291" s="295">
        <f>+'7.  Persistence Report'!AS114</f>
        <v>280205.10665002401</v>
      </c>
      <c r="E291" s="295">
        <f>+'7.  Persistence Report'!AT114</f>
        <v>280205.10665002401</v>
      </c>
      <c r="F291" s="295">
        <f>+'7.  Persistence Report'!AU114</f>
        <v>263322.07429679303</v>
      </c>
      <c r="G291" s="295">
        <f>+'7.  Persistence Report'!AV114</f>
        <v>205704.57030615699</v>
      </c>
      <c r="H291" s="295">
        <f>+'7.  Persistence Report'!AW114</f>
        <v>205704.57030615699</v>
      </c>
      <c r="I291" s="295">
        <f>+'7.  Persistence Report'!AX114</f>
        <v>205704.57030615699</v>
      </c>
      <c r="J291" s="295">
        <f>+'7.  Persistence Report'!AY114</f>
        <v>205704.57030615699</v>
      </c>
      <c r="K291" s="295">
        <f>+'7.  Persistence Report'!AZ114</f>
        <v>205462.15795953601</v>
      </c>
      <c r="L291" s="295">
        <f>+'7.  Persistence Report'!BA114</f>
        <v>172781.737667924</v>
      </c>
      <c r="M291" s="295">
        <f>+'7.  Persistence Report'!BB114</f>
        <v>172781.737667924</v>
      </c>
      <c r="N291" s="758"/>
      <c r="O291" s="295">
        <f>+'7.  Persistence Report'!N114</f>
        <v>19.305651084000001</v>
      </c>
      <c r="P291" s="295">
        <f>+'7.  Persistence Report'!O114</f>
        <v>19.305651084000001</v>
      </c>
      <c r="Q291" s="295">
        <f>+'7.  Persistence Report'!P114</f>
        <v>18.245779913</v>
      </c>
      <c r="R291" s="295">
        <f>+'7.  Persistence Report'!Q114</f>
        <v>14.628708635000001</v>
      </c>
      <c r="S291" s="295">
        <f>+'7.  Persistence Report'!R114</f>
        <v>14.628708635000001</v>
      </c>
      <c r="T291" s="295">
        <f>+'7.  Persistence Report'!S114</f>
        <v>14.628708635000001</v>
      </c>
      <c r="U291" s="295">
        <f>+'7.  Persistence Report'!T114</f>
        <v>14.628708635000001</v>
      </c>
      <c r="V291" s="295">
        <f>+'7.  Persistence Report'!U114</f>
        <v>14.601035992</v>
      </c>
      <c r="W291" s="295">
        <f>+'7.  Persistence Report'!V114</f>
        <v>12.549447474999999</v>
      </c>
      <c r="X291" s="295">
        <f>+'7.  Persistence Report'!W114</f>
        <v>12.549447474999999</v>
      </c>
      <c r="Y291" s="772">
        <v>1</v>
      </c>
      <c r="Z291" s="772"/>
      <c r="AA291" s="772"/>
      <c r="AB291" s="409"/>
      <c r="AC291" s="409"/>
      <c r="AD291" s="409"/>
      <c r="AE291" s="409"/>
      <c r="AF291" s="409"/>
      <c r="AG291" s="409"/>
      <c r="AH291" s="409"/>
      <c r="AI291" s="409"/>
      <c r="AJ291" s="409"/>
      <c r="AK291" s="409"/>
      <c r="AL291" s="409"/>
      <c r="AM291" s="296">
        <f>SUM(Y291:AL291)</f>
        <v>1</v>
      </c>
    </row>
    <row r="292" spans="1:39" ht="15" outlineLevel="1">
      <c r="B292" s="294" t="s">
        <v>249</v>
      </c>
      <c r="C292" s="291" t="s">
        <v>163</v>
      </c>
      <c r="D292" s="295"/>
      <c r="E292" s="295"/>
      <c r="F292" s="295"/>
      <c r="G292" s="295"/>
      <c r="H292" s="295"/>
      <c r="I292" s="295"/>
      <c r="J292" s="295"/>
      <c r="K292" s="295"/>
      <c r="L292" s="295"/>
      <c r="M292" s="295"/>
      <c r="N292" s="759"/>
      <c r="O292" s="295"/>
      <c r="P292" s="295"/>
      <c r="Q292" s="295"/>
      <c r="R292" s="295"/>
      <c r="S292" s="295"/>
      <c r="T292" s="295"/>
      <c r="U292" s="295"/>
      <c r="V292" s="295"/>
      <c r="W292" s="295"/>
      <c r="X292" s="295"/>
      <c r="Y292" s="776">
        <f>Y291</f>
        <v>1</v>
      </c>
      <c r="Z292" s="776">
        <f>Z291</f>
        <v>0</v>
      </c>
      <c r="AA292" s="776">
        <f t="shared" ref="AA292" si="129">AA291</f>
        <v>0</v>
      </c>
      <c r="AB292" s="410">
        <f t="shared" ref="AB292:AL292" si="130">AB291</f>
        <v>0</v>
      </c>
      <c r="AC292" s="410">
        <f t="shared" si="130"/>
        <v>0</v>
      </c>
      <c r="AD292" s="410">
        <f t="shared" si="130"/>
        <v>0</v>
      </c>
      <c r="AE292" s="410">
        <f t="shared" si="130"/>
        <v>0</v>
      </c>
      <c r="AF292" s="410">
        <f t="shared" si="130"/>
        <v>0</v>
      </c>
      <c r="AG292" s="410">
        <f t="shared" si="130"/>
        <v>0</v>
      </c>
      <c r="AH292" s="410">
        <f t="shared" si="130"/>
        <v>0</v>
      </c>
      <c r="AI292" s="410">
        <f t="shared" si="130"/>
        <v>0</v>
      </c>
      <c r="AJ292" s="410">
        <f t="shared" si="130"/>
        <v>0</v>
      </c>
      <c r="AK292" s="410">
        <f t="shared" si="130"/>
        <v>0</v>
      </c>
      <c r="AL292" s="410">
        <f t="shared" si="130"/>
        <v>0</v>
      </c>
      <c r="AM292" s="297"/>
    </row>
    <row r="293" spans="1:39" ht="15" outlineLevel="1">
      <c r="B293" s="294"/>
      <c r="C293" s="305"/>
      <c r="D293" s="760"/>
      <c r="E293" s="760"/>
      <c r="F293" s="760"/>
      <c r="G293" s="760"/>
      <c r="H293" s="760"/>
      <c r="I293" s="760"/>
      <c r="J293" s="760"/>
      <c r="K293" s="760"/>
      <c r="L293" s="760"/>
      <c r="M293" s="760"/>
      <c r="N293" s="758"/>
      <c r="O293" s="760"/>
      <c r="P293" s="760"/>
      <c r="Q293" s="760"/>
      <c r="R293" s="760"/>
      <c r="S293" s="760"/>
      <c r="T293" s="760"/>
      <c r="U293" s="760"/>
      <c r="V293" s="760"/>
      <c r="W293" s="760"/>
      <c r="X293" s="760"/>
      <c r="Y293" s="777"/>
      <c r="Z293" s="777"/>
      <c r="AA293" s="777"/>
      <c r="AB293" s="411"/>
      <c r="AC293" s="411"/>
      <c r="AD293" s="411"/>
      <c r="AE293" s="411"/>
      <c r="AF293" s="411"/>
      <c r="AG293" s="411"/>
      <c r="AH293" s="411"/>
      <c r="AI293" s="411"/>
      <c r="AJ293" s="411"/>
      <c r="AK293" s="411"/>
      <c r="AL293" s="411"/>
      <c r="AM293" s="306"/>
    </row>
    <row r="294" spans="1:39" ht="15" outlineLevel="1">
      <c r="A294" s="504">
        <v>6</v>
      </c>
      <c r="B294" s="294" t="s">
        <v>6</v>
      </c>
      <c r="C294" s="291" t="s">
        <v>25</v>
      </c>
      <c r="D294" s="295"/>
      <c r="E294" s="295"/>
      <c r="F294" s="295"/>
      <c r="G294" s="295"/>
      <c r="H294" s="295"/>
      <c r="I294" s="295"/>
      <c r="J294" s="295"/>
      <c r="K294" s="295"/>
      <c r="L294" s="295"/>
      <c r="M294" s="295"/>
      <c r="N294" s="758"/>
      <c r="O294" s="295"/>
      <c r="P294" s="295"/>
      <c r="Q294" s="295"/>
      <c r="R294" s="295"/>
      <c r="S294" s="295"/>
      <c r="T294" s="295"/>
      <c r="U294" s="295"/>
      <c r="V294" s="295"/>
      <c r="W294" s="295"/>
      <c r="X294" s="295"/>
      <c r="Y294" s="772"/>
      <c r="Z294" s="772"/>
      <c r="AA294" s="772"/>
      <c r="AB294" s="409"/>
      <c r="AC294" s="409"/>
      <c r="AD294" s="409"/>
      <c r="AE294" s="409"/>
      <c r="AF294" s="409"/>
      <c r="AG294" s="409"/>
      <c r="AH294" s="409"/>
      <c r="AI294" s="409"/>
      <c r="AJ294" s="409"/>
      <c r="AK294" s="409"/>
      <c r="AL294" s="409"/>
      <c r="AM294" s="296">
        <f>SUM(Y294:AL294)</f>
        <v>0</v>
      </c>
    </row>
    <row r="295" spans="1:39" ht="15" outlineLevel="1">
      <c r="B295" s="294" t="s">
        <v>249</v>
      </c>
      <c r="C295" s="291" t="s">
        <v>163</v>
      </c>
      <c r="D295" s="295"/>
      <c r="E295" s="295"/>
      <c r="F295" s="295"/>
      <c r="G295" s="295"/>
      <c r="H295" s="295"/>
      <c r="I295" s="295"/>
      <c r="J295" s="295"/>
      <c r="K295" s="295"/>
      <c r="L295" s="295"/>
      <c r="M295" s="295"/>
      <c r="N295" s="759"/>
      <c r="O295" s="295"/>
      <c r="P295" s="295"/>
      <c r="Q295" s="295"/>
      <c r="R295" s="295"/>
      <c r="S295" s="295"/>
      <c r="T295" s="295"/>
      <c r="U295" s="295"/>
      <c r="V295" s="295"/>
      <c r="W295" s="295"/>
      <c r="X295" s="295"/>
      <c r="Y295" s="776">
        <f>Y294</f>
        <v>0</v>
      </c>
      <c r="Z295" s="776">
        <f>Z294</f>
        <v>0</v>
      </c>
      <c r="AA295" s="776">
        <f t="shared" ref="AA295" si="131">AA294</f>
        <v>0</v>
      </c>
      <c r="AB295" s="410">
        <f t="shared" ref="AB295:AL295" si="132">AB294</f>
        <v>0</v>
      </c>
      <c r="AC295" s="410">
        <f t="shared" si="132"/>
        <v>0</v>
      </c>
      <c r="AD295" s="410">
        <f t="shared" si="132"/>
        <v>0</v>
      </c>
      <c r="AE295" s="410">
        <f t="shared" si="132"/>
        <v>0</v>
      </c>
      <c r="AF295" s="410">
        <f t="shared" si="132"/>
        <v>0</v>
      </c>
      <c r="AG295" s="410">
        <f t="shared" si="132"/>
        <v>0</v>
      </c>
      <c r="AH295" s="410">
        <f t="shared" si="132"/>
        <v>0</v>
      </c>
      <c r="AI295" s="410">
        <f t="shared" si="132"/>
        <v>0</v>
      </c>
      <c r="AJ295" s="410">
        <f t="shared" si="132"/>
        <v>0</v>
      </c>
      <c r="AK295" s="410">
        <f t="shared" si="132"/>
        <v>0</v>
      </c>
      <c r="AL295" s="410">
        <f t="shared" si="132"/>
        <v>0</v>
      </c>
      <c r="AM295" s="297"/>
    </row>
    <row r="296" spans="1:39" ht="15" outlineLevel="1">
      <c r="B296" s="294"/>
      <c r="C296" s="305"/>
      <c r="D296" s="760"/>
      <c r="E296" s="760"/>
      <c r="F296" s="760"/>
      <c r="G296" s="760"/>
      <c r="H296" s="760"/>
      <c r="I296" s="760"/>
      <c r="J296" s="760"/>
      <c r="K296" s="760"/>
      <c r="L296" s="760"/>
      <c r="M296" s="760"/>
      <c r="N296" s="758"/>
      <c r="O296" s="760"/>
      <c r="P296" s="760"/>
      <c r="Q296" s="760"/>
      <c r="R296" s="760"/>
      <c r="S296" s="760"/>
      <c r="T296" s="760"/>
      <c r="U296" s="760"/>
      <c r="V296" s="760"/>
      <c r="W296" s="760"/>
      <c r="X296" s="760"/>
      <c r="Y296" s="777"/>
      <c r="Z296" s="777"/>
      <c r="AA296" s="777"/>
      <c r="AB296" s="411"/>
      <c r="AC296" s="411"/>
      <c r="AD296" s="411"/>
      <c r="AE296" s="411"/>
      <c r="AF296" s="411"/>
      <c r="AG296" s="411"/>
      <c r="AH296" s="411"/>
      <c r="AI296" s="411"/>
      <c r="AJ296" s="411"/>
      <c r="AK296" s="411"/>
      <c r="AL296" s="411"/>
      <c r="AM296" s="306"/>
    </row>
    <row r="297" spans="1:39" ht="15" outlineLevel="1">
      <c r="A297" s="504">
        <v>7</v>
      </c>
      <c r="B297" s="294" t="s">
        <v>42</v>
      </c>
      <c r="C297" s="291" t="s">
        <v>25</v>
      </c>
      <c r="D297" s="295"/>
      <c r="E297" s="295"/>
      <c r="F297" s="295"/>
      <c r="G297" s="295"/>
      <c r="H297" s="295"/>
      <c r="I297" s="295"/>
      <c r="J297" s="295"/>
      <c r="K297" s="295"/>
      <c r="L297" s="295"/>
      <c r="M297" s="295"/>
      <c r="N297" s="758"/>
      <c r="O297" s="295"/>
      <c r="P297" s="295"/>
      <c r="Q297" s="295"/>
      <c r="R297" s="295"/>
      <c r="S297" s="295"/>
      <c r="T297" s="295"/>
      <c r="U297" s="295"/>
      <c r="V297" s="295"/>
      <c r="W297" s="295"/>
      <c r="X297" s="295"/>
      <c r="Y297" s="772">
        <v>1</v>
      </c>
      <c r="Z297" s="772"/>
      <c r="AA297" s="772"/>
      <c r="AB297" s="409"/>
      <c r="AC297" s="409"/>
      <c r="AD297" s="409"/>
      <c r="AE297" s="409"/>
      <c r="AF297" s="409"/>
      <c r="AG297" s="409"/>
      <c r="AH297" s="409"/>
      <c r="AI297" s="409"/>
      <c r="AJ297" s="409"/>
      <c r="AK297" s="409"/>
      <c r="AL297" s="409"/>
      <c r="AM297" s="296">
        <f>SUM(Y297:AL297)</f>
        <v>1</v>
      </c>
    </row>
    <row r="298" spans="1:39" ht="15" outlineLevel="1">
      <c r="B298" s="294" t="s">
        <v>249</v>
      </c>
      <c r="C298" s="291" t="s">
        <v>163</v>
      </c>
      <c r="D298" s="295">
        <f>+'7.  Persistence Report'!AS132</f>
        <v>0</v>
      </c>
      <c r="E298" s="295">
        <f>+'7.  Persistence Report'!AT132</f>
        <v>0</v>
      </c>
      <c r="F298" s="295">
        <f>+'7.  Persistence Report'!AU132</f>
        <v>0</v>
      </c>
      <c r="G298" s="295">
        <f>+'7.  Persistence Report'!AV132</f>
        <v>0</v>
      </c>
      <c r="H298" s="295">
        <f>+'7.  Persistence Report'!AW132</f>
        <v>0</v>
      </c>
      <c r="I298" s="295">
        <f>+'7.  Persistence Report'!AX132</f>
        <v>0</v>
      </c>
      <c r="J298" s="295">
        <f>+'7.  Persistence Report'!AY132</f>
        <v>0</v>
      </c>
      <c r="K298" s="295">
        <f>+'7.  Persistence Report'!AZ132</f>
        <v>0</v>
      </c>
      <c r="L298" s="295">
        <f>+'7.  Persistence Report'!BA132</f>
        <v>0</v>
      </c>
      <c r="M298" s="295">
        <f>+'7.  Persistence Report'!BB132</f>
        <v>0</v>
      </c>
      <c r="N298" s="758"/>
      <c r="O298" s="295">
        <f>+'7.  Persistence Report'!N132</f>
        <v>0</v>
      </c>
      <c r="P298" s="295">
        <f>+'7.  Persistence Report'!O132</f>
        <v>216.10930000000002</v>
      </c>
      <c r="Q298" s="295">
        <f>+'7.  Persistence Report'!P132</f>
        <v>0</v>
      </c>
      <c r="R298" s="295">
        <f>+'7.  Persistence Report'!Q132</f>
        <v>0</v>
      </c>
      <c r="S298" s="295">
        <f>+'7.  Persistence Report'!R132</f>
        <v>0</v>
      </c>
      <c r="T298" s="295">
        <f>+'7.  Persistence Report'!S132</f>
        <v>0</v>
      </c>
      <c r="U298" s="295">
        <f>+'7.  Persistence Report'!T132</f>
        <v>0</v>
      </c>
      <c r="V298" s="295">
        <f>+'7.  Persistence Report'!U132</f>
        <v>0</v>
      </c>
      <c r="W298" s="295">
        <f>+'7.  Persistence Report'!V132</f>
        <v>0</v>
      </c>
      <c r="X298" s="295">
        <f>+'7.  Persistence Report'!W132</f>
        <v>0</v>
      </c>
      <c r="Y298" s="776">
        <f>Y297</f>
        <v>1</v>
      </c>
      <c r="Z298" s="776">
        <f>Z297</f>
        <v>0</v>
      </c>
      <c r="AA298" s="776">
        <f t="shared" ref="AA298" si="133">AA297</f>
        <v>0</v>
      </c>
      <c r="AB298" s="410">
        <f t="shared" ref="AB298:AL298" si="134">AB297</f>
        <v>0</v>
      </c>
      <c r="AC298" s="410">
        <f t="shared" si="134"/>
        <v>0</v>
      </c>
      <c r="AD298" s="410">
        <f t="shared" si="134"/>
        <v>0</v>
      </c>
      <c r="AE298" s="410">
        <f t="shared" si="134"/>
        <v>0</v>
      </c>
      <c r="AF298" s="410">
        <f t="shared" si="134"/>
        <v>0</v>
      </c>
      <c r="AG298" s="410">
        <f t="shared" si="134"/>
        <v>0</v>
      </c>
      <c r="AH298" s="410">
        <f t="shared" si="134"/>
        <v>0</v>
      </c>
      <c r="AI298" s="410">
        <f t="shared" si="134"/>
        <v>0</v>
      </c>
      <c r="AJ298" s="410">
        <f t="shared" si="134"/>
        <v>0</v>
      </c>
      <c r="AK298" s="410">
        <f t="shared" si="134"/>
        <v>0</v>
      </c>
      <c r="AL298" s="410">
        <f t="shared" si="134"/>
        <v>0</v>
      </c>
      <c r="AM298" s="297"/>
    </row>
    <row r="299" spans="1:39" ht="15" outlineLevel="1">
      <c r="B299" s="294"/>
      <c r="C299" s="305"/>
      <c r="D299" s="760"/>
      <c r="E299" s="760"/>
      <c r="F299" s="760"/>
      <c r="G299" s="760"/>
      <c r="H299" s="760"/>
      <c r="I299" s="760"/>
      <c r="J299" s="760"/>
      <c r="K299" s="760"/>
      <c r="L299" s="760"/>
      <c r="M299" s="760"/>
      <c r="N299" s="758"/>
      <c r="O299" s="760"/>
      <c r="P299" s="760"/>
      <c r="Q299" s="760"/>
      <c r="R299" s="760"/>
      <c r="S299" s="760"/>
      <c r="T299" s="760"/>
      <c r="U299" s="760"/>
      <c r="V299" s="760"/>
      <c r="W299" s="760"/>
      <c r="X299" s="760"/>
      <c r="Y299" s="777"/>
      <c r="Z299" s="777"/>
      <c r="AA299" s="777"/>
      <c r="AB299" s="411"/>
      <c r="AC299" s="411"/>
      <c r="AD299" s="411"/>
      <c r="AE299" s="411"/>
      <c r="AF299" s="411"/>
      <c r="AG299" s="411"/>
      <c r="AH299" s="411"/>
      <c r="AI299" s="411"/>
      <c r="AJ299" s="411"/>
      <c r="AK299" s="411"/>
      <c r="AL299" s="411"/>
      <c r="AM299" s="306"/>
    </row>
    <row r="300" spans="1:39" s="283" customFormat="1" ht="15" outlineLevel="1">
      <c r="A300" s="504">
        <v>8</v>
      </c>
      <c r="B300" s="294" t="s">
        <v>485</v>
      </c>
      <c r="C300" s="291" t="s">
        <v>25</v>
      </c>
      <c r="D300" s="295"/>
      <c r="E300" s="295"/>
      <c r="F300" s="295"/>
      <c r="G300" s="295"/>
      <c r="H300" s="295"/>
      <c r="I300" s="295"/>
      <c r="J300" s="295"/>
      <c r="K300" s="295"/>
      <c r="L300" s="295"/>
      <c r="M300" s="295"/>
      <c r="N300" s="758"/>
      <c r="O300" s="295"/>
      <c r="P300" s="295"/>
      <c r="Q300" s="295"/>
      <c r="R300" s="295"/>
      <c r="S300" s="295"/>
      <c r="T300" s="295"/>
      <c r="U300" s="295"/>
      <c r="V300" s="295"/>
      <c r="W300" s="295"/>
      <c r="X300" s="295"/>
      <c r="Y300" s="772"/>
      <c r="Z300" s="772"/>
      <c r="AA300" s="772"/>
      <c r="AB300" s="409"/>
      <c r="AC300" s="409"/>
      <c r="AD300" s="409"/>
      <c r="AE300" s="409"/>
      <c r="AF300" s="409"/>
      <c r="AG300" s="409"/>
      <c r="AH300" s="409"/>
      <c r="AI300" s="409"/>
      <c r="AJ300" s="409"/>
      <c r="AK300" s="409"/>
      <c r="AL300" s="409"/>
      <c r="AM300" s="296">
        <f>SUM(Y300:AL300)</f>
        <v>0</v>
      </c>
    </row>
    <row r="301" spans="1:39" s="283" customFormat="1" ht="15" outlineLevel="1">
      <c r="A301" s="504"/>
      <c r="B301" s="294" t="s">
        <v>249</v>
      </c>
      <c r="C301" s="291" t="s">
        <v>163</v>
      </c>
      <c r="D301" s="295"/>
      <c r="E301" s="295"/>
      <c r="F301" s="295"/>
      <c r="G301" s="295"/>
      <c r="H301" s="295"/>
      <c r="I301" s="295"/>
      <c r="J301" s="295"/>
      <c r="K301" s="295"/>
      <c r="L301" s="295"/>
      <c r="M301" s="295"/>
      <c r="N301" s="758"/>
      <c r="O301" s="295"/>
      <c r="P301" s="295"/>
      <c r="Q301" s="295"/>
      <c r="R301" s="295"/>
      <c r="S301" s="295"/>
      <c r="T301" s="295"/>
      <c r="U301" s="295"/>
      <c r="V301" s="295"/>
      <c r="W301" s="295"/>
      <c r="X301" s="295"/>
      <c r="Y301" s="776">
        <f>Y300</f>
        <v>0</v>
      </c>
      <c r="Z301" s="776">
        <f>Z300</f>
        <v>0</v>
      </c>
      <c r="AA301" s="776">
        <f t="shared" ref="AA301" si="135">AA300</f>
        <v>0</v>
      </c>
      <c r="AB301" s="410">
        <f t="shared" ref="AB301:AL301" si="136">AB300</f>
        <v>0</v>
      </c>
      <c r="AC301" s="410">
        <f t="shared" si="136"/>
        <v>0</v>
      </c>
      <c r="AD301" s="410">
        <f t="shared" si="136"/>
        <v>0</v>
      </c>
      <c r="AE301" s="410">
        <f t="shared" si="136"/>
        <v>0</v>
      </c>
      <c r="AF301" s="410">
        <f t="shared" si="136"/>
        <v>0</v>
      </c>
      <c r="AG301" s="410">
        <f t="shared" si="136"/>
        <v>0</v>
      </c>
      <c r="AH301" s="410">
        <f t="shared" si="136"/>
        <v>0</v>
      </c>
      <c r="AI301" s="410">
        <f t="shared" si="136"/>
        <v>0</v>
      </c>
      <c r="AJ301" s="410">
        <f t="shared" si="136"/>
        <v>0</v>
      </c>
      <c r="AK301" s="410">
        <f t="shared" si="136"/>
        <v>0</v>
      </c>
      <c r="AL301" s="410">
        <f t="shared" si="136"/>
        <v>0</v>
      </c>
      <c r="AM301" s="297"/>
    </row>
    <row r="302" spans="1:39" s="283" customFormat="1" ht="15" outlineLevel="1">
      <c r="A302" s="504"/>
      <c r="B302" s="294"/>
      <c r="C302" s="305"/>
      <c r="D302" s="760"/>
      <c r="E302" s="760"/>
      <c r="F302" s="760"/>
      <c r="G302" s="760"/>
      <c r="H302" s="760"/>
      <c r="I302" s="760"/>
      <c r="J302" s="760"/>
      <c r="K302" s="760"/>
      <c r="L302" s="760"/>
      <c r="M302" s="760"/>
      <c r="N302" s="758"/>
      <c r="O302" s="760"/>
      <c r="P302" s="760"/>
      <c r="Q302" s="760"/>
      <c r="R302" s="760"/>
      <c r="S302" s="760"/>
      <c r="T302" s="760"/>
      <c r="U302" s="760"/>
      <c r="V302" s="760"/>
      <c r="W302" s="760"/>
      <c r="X302" s="760"/>
      <c r="Y302" s="777"/>
      <c r="Z302" s="777"/>
      <c r="AA302" s="777"/>
      <c r="AB302" s="411"/>
      <c r="AC302" s="411"/>
      <c r="AD302" s="411"/>
      <c r="AE302" s="411"/>
      <c r="AF302" s="411"/>
      <c r="AG302" s="411"/>
      <c r="AH302" s="411"/>
      <c r="AI302" s="411"/>
      <c r="AJ302" s="411"/>
      <c r="AK302" s="411"/>
      <c r="AL302" s="411"/>
      <c r="AM302" s="306"/>
    </row>
    <row r="303" spans="1:39" ht="15" outlineLevel="1">
      <c r="A303" s="504">
        <v>9</v>
      </c>
      <c r="B303" s="294" t="s">
        <v>7</v>
      </c>
      <c r="C303" s="291" t="s">
        <v>25</v>
      </c>
      <c r="D303" s="295"/>
      <c r="E303" s="295"/>
      <c r="F303" s="295"/>
      <c r="G303" s="295"/>
      <c r="H303" s="295"/>
      <c r="I303" s="295"/>
      <c r="J303" s="295"/>
      <c r="K303" s="295"/>
      <c r="L303" s="295"/>
      <c r="M303" s="295"/>
      <c r="N303" s="758"/>
      <c r="O303" s="295"/>
      <c r="P303" s="295"/>
      <c r="Q303" s="295"/>
      <c r="R303" s="295"/>
      <c r="S303" s="295"/>
      <c r="T303" s="295"/>
      <c r="U303" s="295"/>
      <c r="V303" s="295"/>
      <c r="W303" s="295"/>
      <c r="X303" s="295"/>
      <c r="Y303" s="772"/>
      <c r="Z303" s="772"/>
      <c r="AA303" s="772"/>
      <c r="AB303" s="409"/>
      <c r="AC303" s="409"/>
      <c r="AD303" s="409"/>
      <c r="AE303" s="409"/>
      <c r="AF303" s="409"/>
      <c r="AG303" s="409"/>
      <c r="AH303" s="409"/>
      <c r="AI303" s="409"/>
      <c r="AJ303" s="409"/>
      <c r="AK303" s="409"/>
      <c r="AL303" s="409"/>
      <c r="AM303" s="296">
        <f>SUM(Y303:AL303)</f>
        <v>0</v>
      </c>
    </row>
    <row r="304" spans="1:39" ht="15" outlineLevel="1">
      <c r="B304" s="294" t="s">
        <v>249</v>
      </c>
      <c r="C304" s="291" t="s">
        <v>163</v>
      </c>
      <c r="D304" s="295"/>
      <c r="E304" s="295"/>
      <c r="F304" s="295"/>
      <c r="G304" s="295"/>
      <c r="H304" s="295"/>
      <c r="I304" s="295"/>
      <c r="J304" s="295"/>
      <c r="K304" s="295"/>
      <c r="L304" s="295"/>
      <c r="M304" s="295"/>
      <c r="N304" s="758"/>
      <c r="O304" s="295"/>
      <c r="P304" s="295"/>
      <c r="Q304" s="295"/>
      <c r="R304" s="295"/>
      <c r="S304" s="295"/>
      <c r="T304" s="295"/>
      <c r="U304" s="295"/>
      <c r="V304" s="295"/>
      <c r="W304" s="295"/>
      <c r="X304" s="295"/>
      <c r="Y304" s="776">
        <f>Y303</f>
        <v>0</v>
      </c>
      <c r="Z304" s="776">
        <f>Z303</f>
        <v>0</v>
      </c>
      <c r="AA304" s="776">
        <f t="shared" ref="AA304" si="137">AA303</f>
        <v>0</v>
      </c>
      <c r="AB304" s="410">
        <f t="shared" ref="AB304:AL304" si="138">AB303</f>
        <v>0</v>
      </c>
      <c r="AC304" s="410">
        <f t="shared" si="138"/>
        <v>0</v>
      </c>
      <c r="AD304" s="410">
        <f t="shared" si="138"/>
        <v>0</v>
      </c>
      <c r="AE304" s="410">
        <f t="shared" si="138"/>
        <v>0</v>
      </c>
      <c r="AF304" s="410">
        <f t="shared" si="138"/>
        <v>0</v>
      </c>
      <c r="AG304" s="410">
        <f t="shared" si="138"/>
        <v>0</v>
      </c>
      <c r="AH304" s="410">
        <f t="shared" si="138"/>
        <v>0</v>
      </c>
      <c r="AI304" s="410">
        <f t="shared" si="138"/>
        <v>0</v>
      </c>
      <c r="AJ304" s="410">
        <f t="shared" si="138"/>
        <v>0</v>
      </c>
      <c r="AK304" s="410">
        <f t="shared" si="138"/>
        <v>0</v>
      </c>
      <c r="AL304" s="410">
        <f t="shared" si="138"/>
        <v>0</v>
      </c>
      <c r="AM304" s="297"/>
    </row>
    <row r="305" spans="1:39" ht="15" outlineLevel="1">
      <c r="B305" s="307"/>
      <c r="C305" s="308"/>
      <c r="D305" s="758"/>
      <c r="E305" s="758"/>
      <c r="F305" s="758"/>
      <c r="G305" s="758"/>
      <c r="H305" s="758"/>
      <c r="I305" s="758"/>
      <c r="J305" s="758"/>
      <c r="K305" s="758"/>
      <c r="L305" s="758"/>
      <c r="M305" s="758"/>
      <c r="N305" s="758"/>
      <c r="O305" s="758"/>
      <c r="P305" s="758"/>
      <c r="Q305" s="758"/>
      <c r="R305" s="758"/>
      <c r="S305" s="758"/>
      <c r="T305" s="758"/>
      <c r="U305" s="758"/>
      <c r="V305" s="758"/>
      <c r="W305" s="758"/>
      <c r="X305" s="758"/>
      <c r="Y305" s="777"/>
      <c r="Z305" s="777"/>
      <c r="AA305" s="777"/>
      <c r="AB305" s="411"/>
      <c r="AC305" s="411"/>
      <c r="AD305" s="411"/>
      <c r="AE305" s="411"/>
      <c r="AF305" s="411"/>
      <c r="AG305" s="411"/>
      <c r="AH305" s="411"/>
      <c r="AI305" s="411"/>
      <c r="AJ305" s="411"/>
      <c r="AK305" s="411"/>
      <c r="AL305" s="411"/>
      <c r="AM305" s="306"/>
    </row>
    <row r="306" spans="1:39" ht="15.75" outlineLevel="1">
      <c r="A306" s="505"/>
      <c r="B306" s="288" t="s">
        <v>8</v>
      </c>
      <c r="C306" s="289"/>
      <c r="D306" s="762"/>
      <c r="E306" s="762"/>
      <c r="F306" s="762"/>
      <c r="G306" s="762"/>
      <c r="H306" s="762"/>
      <c r="I306" s="762"/>
      <c r="J306" s="762"/>
      <c r="K306" s="762"/>
      <c r="L306" s="762"/>
      <c r="M306" s="762"/>
      <c r="N306" s="758"/>
      <c r="O306" s="762"/>
      <c r="P306" s="762"/>
      <c r="Q306" s="762"/>
      <c r="R306" s="762"/>
      <c r="S306" s="762"/>
      <c r="T306" s="762"/>
      <c r="U306" s="762"/>
      <c r="V306" s="762"/>
      <c r="W306" s="762"/>
      <c r="X306" s="762"/>
      <c r="Y306" s="811"/>
      <c r="Z306" s="811"/>
      <c r="AA306" s="811"/>
      <c r="AB306" s="413"/>
      <c r="AC306" s="413"/>
      <c r="AD306" s="413"/>
      <c r="AE306" s="413"/>
      <c r="AF306" s="413"/>
      <c r="AG306" s="413"/>
      <c r="AH306" s="413"/>
      <c r="AI306" s="413"/>
      <c r="AJ306" s="413"/>
      <c r="AK306" s="413"/>
      <c r="AL306" s="413"/>
      <c r="AM306" s="292"/>
    </row>
    <row r="307" spans="1:39" ht="15" outlineLevel="1">
      <c r="A307" s="504">
        <v>10</v>
      </c>
      <c r="B307" s="310" t="s">
        <v>22</v>
      </c>
      <c r="C307" s="291" t="s">
        <v>25</v>
      </c>
      <c r="D307" s="295">
        <f>+'7.  Persistence Report'!AS109</f>
        <v>5331291.2695778701</v>
      </c>
      <c r="E307" s="295">
        <f>+'7.  Persistence Report'!AT109</f>
        <v>5317286.5570189096</v>
      </c>
      <c r="F307" s="295">
        <f>+'7.  Persistence Report'!AU109</f>
        <v>5317286.5570189096</v>
      </c>
      <c r="G307" s="295">
        <f>+'7.  Persistence Report'!AV109</f>
        <v>5294305.8489489201</v>
      </c>
      <c r="H307" s="295">
        <f>+'7.  Persistence Report'!AW109</f>
        <v>5125718.1503715096</v>
      </c>
      <c r="I307" s="295">
        <f>+'7.  Persistence Report'!AX109</f>
        <v>5052531.1639326504</v>
      </c>
      <c r="J307" s="295">
        <f>+'7.  Persistence Report'!AY109</f>
        <v>5052531.1639326504</v>
      </c>
      <c r="K307" s="295">
        <f>+'7.  Persistence Report'!AZ109</f>
        <v>5043144.6978340298</v>
      </c>
      <c r="L307" s="295">
        <f>+'7.  Persistence Report'!BA109</f>
        <v>4927105.8401609296</v>
      </c>
      <c r="M307" s="295">
        <f>+'7.  Persistence Report'!BB109</f>
        <v>4412807.6740284599</v>
      </c>
      <c r="N307" s="295">
        <v>12</v>
      </c>
      <c r="O307" s="295">
        <f>+'7.  Persistence Report'!N109</f>
        <v>1007.6289563359999</v>
      </c>
      <c r="P307" s="295">
        <f>+'7.  Persistence Report'!O109</f>
        <v>1003.1585377609999</v>
      </c>
      <c r="Q307" s="295">
        <f>+'7.  Persistence Report'!P109</f>
        <v>1003.1585377609999</v>
      </c>
      <c r="R307" s="295">
        <f>+'7.  Persistence Report'!Q109</f>
        <v>995.76488100500001</v>
      </c>
      <c r="S307" s="295">
        <f>+'7.  Persistence Report'!R109</f>
        <v>941.77068053799997</v>
      </c>
      <c r="T307" s="295">
        <f>+'7.  Persistence Report'!S109</f>
        <v>926.78715792499997</v>
      </c>
      <c r="U307" s="295">
        <f>+'7.  Persistence Report'!T109</f>
        <v>926.78715792499997</v>
      </c>
      <c r="V307" s="295">
        <f>+'7.  Persistence Report'!U109</f>
        <v>926.60604586900001</v>
      </c>
      <c r="W307" s="295">
        <f>+'7.  Persistence Report'!V109</f>
        <v>893.39123133199996</v>
      </c>
      <c r="X307" s="295">
        <f>+'7.  Persistence Report'!W109</f>
        <v>790.34778714900006</v>
      </c>
      <c r="Y307" s="773"/>
      <c r="Z307" s="827">
        <v>0.14199999999999999</v>
      </c>
      <c r="AA307" s="828">
        <v>0.85799999999999998</v>
      </c>
      <c r="AB307" s="498"/>
      <c r="AC307" s="414"/>
      <c r="AD307" s="414"/>
      <c r="AE307" s="414"/>
      <c r="AF307" s="414"/>
      <c r="AG307" s="414"/>
      <c r="AH307" s="414"/>
      <c r="AI307" s="414"/>
      <c r="AJ307" s="414"/>
      <c r="AK307" s="414"/>
      <c r="AL307" s="414"/>
      <c r="AM307" s="296">
        <f>SUM(Y307:AL307)</f>
        <v>1</v>
      </c>
    </row>
    <row r="308" spans="1:39" ht="15" outlineLevel="1">
      <c r="B308" s="294" t="s">
        <v>249</v>
      </c>
      <c r="C308" s="291" t="s">
        <v>163</v>
      </c>
      <c r="D308" s="295">
        <f>+'7.  Persistence Report'!AS127</f>
        <v>918178.35320000001</v>
      </c>
      <c r="E308" s="295">
        <f>+'7.  Persistence Report'!AT127</f>
        <v>829306.99140000006</v>
      </c>
      <c r="F308" s="295">
        <f>+'7.  Persistence Report'!AU127</f>
        <v>829306.99140000006</v>
      </c>
      <c r="G308" s="295">
        <f>+'7.  Persistence Report'!AV127</f>
        <v>829306.99140000006</v>
      </c>
      <c r="H308" s="295">
        <f>+'7.  Persistence Report'!AW127</f>
        <v>816589.17879999999</v>
      </c>
      <c r="I308" s="295">
        <f>+'7.  Persistence Report'!AX127</f>
        <v>807485.53399999999</v>
      </c>
      <c r="J308" s="295">
        <f>+'7.  Persistence Report'!AY127</f>
        <v>807485.53399999999</v>
      </c>
      <c r="K308" s="295">
        <f>+'7.  Persistence Report'!AZ127</f>
        <v>805876.924</v>
      </c>
      <c r="L308" s="295">
        <f>+'7.  Persistence Report'!BA127</f>
        <v>768683.2524</v>
      </c>
      <c r="M308" s="295">
        <f>+'7.  Persistence Report'!BB127</f>
        <v>714063.81079999998</v>
      </c>
      <c r="N308" s="295">
        <f>N307</f>
        <v>12</v>
      </c>
      <c r="O308" s="295">
        <f>+'7.  Persistence Report'!N127</f>
        <v>186.59722310000001</v>
      </c>
      <c r="P308" s="295">
        <f>+'7.  Persistence Report'!O127</f>
        <v>165.22298470000001</v>
      </c>
      <c r="Q308" s="295">
        <f>+'7.  Persistence Report'!P127</f>
        <v>165.22298470000001</v>
      </c>
      <c r="R308" s="295">
        <f>+'7.  Persistence Report'!Q127</f>
        <v>165.22298470000001</v>
      </c>
      <c r="S308" s="295">
        <f>+'7.  Persistence Report'!R127</f>
        <v>161.57210069999999</v>
      </c>
      <c r="T308" s="295">
        <f>+'7.  Persistence Report'!S127</f>
        <v>159.7785275</v>
      </c>
      <c r="U308" s="295">
        <f>+'7.  Persistence Report'!T127</f>
        <v>159.7785275</v>
      </c>
      <c r="V308" s="295">
        <f>+'7.  Persistence Report'!U127</f>
        <v>159.67861149999999</v>
      </c>
      <c r="W308" s="295">
        <f>+'7.  Persistence Report'!V127</f>
        <v>149.81416540000001</v>
      </c>
      <c r="X308" s="295">
        <f>+'7.  Persistence Report'!W127</f>
        <v>140.11076080000001</v>
      </c>
      <c r="Y308" s="776">
        <f>Y307</f>
        <v>0</v>
      </c>
      <c r="Z308" s="776">
        <f>Z307</f>
        <v>0.14199999999999999</v>
      </c>
      <c r="AA308" s="776">
        <f t="shared" ref="AA308" si="139">AA307</f>
        <v>0.85799999999999998</v>
      </c>
      <c r="AB308" s="410">
        <f t="shared" ref="AB308:AL308" si="140">AB307</f>
        <v>0</v>
      </c>
      <c r="AC308" s="410">
        <f t="shared" si="140"/>
        <v>0</v>
      </c>
      <c r="AD308" s="410">
        <f t="shared" si="140"/>
        <v>0</v>
      </c>
      <c r="AE308" s="410">
        <f t="shared" si="140"/>
        <v>0</v>
      </c>
      <c r="AF308" s="410">
        <f t="shared" si="140"/>
        <v>0</v>
      </c>
      <c r="AG308" s="410">
        <f t="shared" si="140"/>
        <v>0</v>
      </c>
      <c r="AH308" s="410">
        <f t="shared" si="140"/>
        <v>0</v>
      </c>
      <c r="AI308" s="410">
        <f t="shared" si="140"/>
        <v>0</v>
      </c>
      <c r="AJ308" s="410">
        <f t="shared" si="140"/>
        <v>0</v>
      </c>
      <c r="AK308" s="410">
        <f t="shared" si="140"/>
        <v>0</v>
      </c>
      <c r="AL308" s="410">
        <f t="shared" si="140"/>
        <v>0</v>
      </c>
      <c r="AM308" s="311"/>
    </row>
    <row r="309" spans="1:39" ht="15" outlineLevel="1">
      <c r="B309" s="310"/>
      <c r="C309" s="312"/>
      <c r="D309" s="758"/>
      <c r="E309" s="758"/>
      <c r="F309" s="758"/>
      <c r="G309" s="758"/>
      <c r="H309" s="758"/>
      <c r="I309" s="758"/>
      <c r="J309" s="758"/>
      <c r="K309" s="758"/>
      <c r="L309" s="758"/>
      <c r="M309" s="758"/>
      <c r="N309" s="758"/>
      <c r="O309" s="758"/>
      <c r="P309" s="758"/>
      <c r="Q309" s="758"/>
      <c r="R309" s="758"/>
      <c r="S309" s="758"/>
      <c r="T309" s="758"/>
      <c r="U309" s="758"/>
      <c r="V309" s="758"/>
      <c r="W309" s="758"/>
      <c r="X309" s="758"/>
      <c r="Y309" s="812"/>
      <c r="Z309" s="812"/>
      <c r="AA309" s="812"/>
      <c r="AB309" s="415"/>
      <c r="AC309" s="415"/>
      <c r="AD309" s="415"/>
      <c r="AE309" s="415"/>
      <c r="AF309" s="415"/>
      <c r="AG309" s="415"/>
      <c r="AH309" s="415"/>
      <c r="AI309" s="415"/>
      <c r="AJ309" s="415"/>
      <c r="AK309" s="415"/>
      <c r="AL309" s="415"/>
      <c r="AM309" s="313"/>
    </row>
    <row r="310" spans="1:39" ht="15" outlineLevel="1">
      <c r="A310" s="504">
        <v>11</v>
      </c>
      <c r="B310" s="314" t="s">
        <v>21</v>
      </c>
      <c r="C310" s="291" t="s">
        <v>25</v>
      </c>
      <c r="D310" s="295">
        <f>+'7.  Persistence Report'!AS110</f>
        <v>386912.716400226</v>
      </c>
      <c r="E310" s="295">
        <f>+'7.  Persistence Report'!AT110</f>
        <v>386912.716400226</v>
      </c>
      <c r="F310" s="295">
        <f>+'7.  Persistence Report'!AU110</f>
        <v>373205.18190576998</v>
      </c>
      <c r="G310" s="295">
        <f>+'7.  Persistence Report'!AV110</f>
        <v>333368.16889166902</v>
      </c>
      <c r="H310" s="295">
        <f>+'7.  Persistence Report'!AW110</f>
        <v>147505.98294481501</v>
      </c>
      <c r="I310" s="295">
        <f>+'7.  Persistence Report'!AX110</f>
        <v>147505.98294481501</v>
      </c>
      <c r="J310" s="295">
        <f>+'7.  Persistence Report'!AY110</f>
        <v>147505.98294481501</v>
      </c>
      <c r="K310" s="295">
        <f>+'7.  Persistence Report'!AZ110</f>
        <v>147505.98294481501</v>
      </c>
      <c r="L310" s="295">
        <f>+'7.  Persistence Report'!BA110</f>
        <v>147505.98294481501</v>
      </c>
      <c r="M310" s="295">
        <f>+'7.  Persistence Report'!BB110</f>
        <v>147505.98294481501</v>
      </c>
      <c r="N310" s="295">
        <v>12</v>
      </c>
      <c r="O310" s="295">
        <f>+'7.  Persistence Report'!N110</f>
        <v>110.33890635900001</v>
      </c>
      <c r="P310" s="295">
        <f>+'7.  Persistence Report'!O110</f>
        <v>110.33890635900001</v>
      </c>
      <c r="Q310" s="295">
        <f>+'7.  Persistence Report'!P110</f>
        <v>106.472837224</v>
      </c>
      <c r="R310" s="295">
        <f>+'7.  Persistence Report'!Q110</f>
        <v>96.037296600999994</v>
      </c>
      <c r="S310" s="295">
        <f>+'7.  Persistence Report'!R110</f>
        <v>40.368307094000002</v>
      </c>
      <c r="T310" s="295">
        <f>+'7.  Persistence Report'!S110</f>
        <v>40.368307094000002</v>
      </c>
      <c r="U310" s="295">
        <f>+'7.  Persistence Report'!T110</f>
        <v>40.368307094000002</v>
      </c>
      <c r="V310" s="295">
        <f>+'7.  Persistence Report'!U110</f>
        <v>40.368307094000002</v>
      </c>
      <c r="W310" s="295">
        <f>+'7.  Persistence Report'!V110</f>
        <v>40.368307094000002</v>
      </c>
      <c r="X310" s="295">
        <f>+'7.  Persistence Report'!W110</f>
        <v>40.368307094000002</v>
      </c>
      <c r="Y310" s="773"/>
      <c r="Z310" s="827">
        <v>1</v>
      </c>
      <c r="AA310" s="828">
        <v>0</v>
      </c>
      <c r="AB310" s="414"/>
      <c r="AC310" s="414"/>
      <c r="AD310" s="414"/>
      <c r="AE310" s="414"/>
      <c r="AF310" s="414"/>
      <c r="AG310" s="414"/>
      <c r="AH310" s="414"/>
      <c r="AI310" s="414"/>
      <c r="AJ310" s="414"/>
      <c r="AK310" s="414"/>
      <c r="AL310" s="414"/>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76">
        <f>Y310</f>
        <v>0</v>
      </c>
      <c r="Z311" s="776">
        <f>Z310</f>
        <v>1</v>
      </c>
      <c r="AA311" s="776">
        <f t="shared" ref="AA311" si="141">AA310</f>
        <v>0</v>
      </c>
      <c r="AB311" s="410">
        <f t="shared" ref="AB311:AL311" si="142">AB310</f>
        <v>0</v>
      </c>
      <c r="AC311" s="410">
        <f t="shared" si="142"/>
        <v>0</v>
      </c>
      <c r="AD311" s="410">
        <f t="shared" si="142"/>
        <v>0</v>
      </c>
      <c r="AE311" s="410">
        <f t="shared" si="142"/>
        <v>0</v>
      </c>
      <c r="AF311" s="410">
        <f t="shared" si="142"/>
        <v>0</v>
      </c>
      <c r="AG311" s="410">
        <f t="shared" si="142"/>
        <v>0</v>
      </c>
      <c r="AH311" s="410">
        <f t="shared" si="142"/>
        <v>0</v>
      </c>
      <c r="AI311" s="410">
        <f t="shared" si="142"/>
        <v>0</v>
      </c>
      <c r="AJ311" s="410">
        <f t="shared" si="142"/>
        <v>0</v>
      </c>
      <c r="AK311" s="410">
        <f t="shared" si="142"/>
        <v>0</v>
      </c>
      <c r="AL311" s="410">
        <f t="shared" si="142"/>
        <v>0</v>
      </c>
      <c r="AM311" s="311"/>
    </row>
    <row r="312" spans="1:39" ht="15" outlineLevel="1">
      <c r="B312" s="314"/>
      <c r="C312" s="312"/>
      <c r="D312" s="758"/>
      <c r="E312" s="758"/>
      <c r="F312" s="758"/>
      <c r="G312" s="758"/>
      <c r="H312" s="758"/>
      <c r="I312" s="758"/>
      <c r="J312" s="758"/>
      <c r="K312" s="758"/>
      <c r="L312" s="758"/>
      <c r="M312" s="758"/>
      <c r="N312" s="758"/>
      <c r="O312" s="758"/>
      <c r="P312" s="758"/>
      <c r="Q312" s="758"/>
      <c r="R312" s="758"/>
      <c r="S312" s="758"/>
      <c r="T312" s="758"/>
      <c r="U312" s="758"/>
      <c r="V312" s="758"/>
      <c r="W312" s="758"/>
      <c r="X312" s="758"/>
      <c r="Y312" s="812"/>
      <c r="Z312" s="818"/>
      <c r="AA312" s="812"/>
      <c r="AB312" s="415"/>
      <c r="AC312" s="415"/>
      <c r="AD312" s="415"/>
      <c r="AE312" s="415"/>
      <c r="AF312" s="415"/>
      <c r="AG312" s="415"/>
      <c r="AH312" s="415"/>
      <c r="AI312" s="415"/>
      <c r="AJ312" s="415"/>
      <c r="AK312" s="415"/>
      <c r="AL312" s="415"/>
      <c r="AM312" s="313"/>
    </row>
    <row r="313" spans="1:39" ht="15" outlineLevel="1">
      <c r="A313" s="504">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73"/>
      <c r="Z313" s="773"/>
      <c r="AA313" s="773"/>
      <c r="AB313" s="414"/>
      <c r="AC313" s="414"/>
      <c r="AD313" s="414"/>
      <c r="AE313" s="414"/>
      <c r="AF313" s="414"/>
      <c r="AG313" s="414"/>
      <c r="AH313" s="414"/>
      <c r="AI313" s="414"/>
      <c r="AJ313" s="414"/>
      <c r="AK313" s="414"/>
      <c r="AL313" s="414"/>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76">
        <f>Y313</f>
        <v>0</v>
      </c>
      <c r="Z314" s="776">
        <f>Z313</f>
        <v>0</v>
      </c>
      <c r="AA314" s="776">
        <f t="shared" ref="AA314" si="143">AA313</f>
        <v>0</v>
      </c>
      <c r="AB314" s="410">
        <f t="shared" ref="AB314:AL314" si="144">AB313</f>
        <v>0</v>
      </c>
      <c r="AC314" s="410">
        <f t="shared" si="144"/>
        <v>0</v>
      </c>
      <c r="AD314" s="410">
        <f t="shared" si="144"/>
        <v>0</v>
      </c>
      <c r="AE314" s="410">
        <f t="shared" si="144"/>
        <v>0</v>
      </c>
      <c r="AF314" s="410">
        <f t="shared" si="144"/>
        <v>0</v>
      </c>
      <c r="AG314" s="410">
        <f t="shared" si="144"/>
        <v>0</v>
      </c>
      <c r="AH314" s="410">
        <f t="shared" si="144"/>
        <v>0</v>
      </c>
      <c r="AI314" s="410">
        <f t="shared" si="144"/>
        <v>0</v>
      </c>
      <c r="AJ314" s="410">
        <f t="shared" si="144"/>
        <v>0</v>
      </c>
      <c r="AK314" s="410">
        <f t="shared" si="144"/>
        <v>0</v>
      </c>
      <c r="AL314" s="410">
        <f t="shared" si="144"/>
        <v>0</v>
      </c>
      <c r="AM314" s="311"/>
    </row>
    <row r="315" spans="1:39" ht="15" outlineLevel="1">
      <c r="B315" s="314"/>
      <c r="C315" s="312"/>
      <c r="D315" s="764"/>
      <c r="E315" s="764"/>
      <c r="F315" s="764"/>
      <c r="G315" s="764"/>
      <c r="H315" s="764"/>
      <c r="I315" s="764"/>
      <c r="J315" s="764"/>
      <c r="K315" s="764"/>
      <c r="L315" s="764"/>
      <c r="M315" s="764"/>
      <c r="N315" s="758"/>
      <c r="O315" s="764"/>
      <c r="P315" s="764"/>
      <c r="Q315" s="764"/>
      <c r="R315" s="764"/>
      <c r="S315" s="764"/>
      <c r="T315" s="764"/>
      <c r="U315" s="764"/>
      <c r="V315" s="764"/>
      <c r="W315" s="764"/>
      <c r="X315" s="764"/>
      <c r="Y315" s="812"/>
      <c r="Z315" s="818"/>
      <c r="AA315" s="812"/>
      <c r="AB315" s="415"/>
      <c r="AC315" s="415"/>
      <c r="AD315" s="415"/>
      <c r="AE315" s="415"/>
      <c r="AF315" s="415"/>
      <c r="AG315" s="415"/>
      <c r="AH315" s="415"/>
      <c r="AI315" s="415"/>
      <c r="AJ315" s="415"/>
      <c r="AK315" s="415"/>
      <c r="AL315" s="415"/>
      <c r="AM315" s="313"/>
    </row>
    <row r="316" spans="1:39" ht="15" outlineLevel="1">
      <c r="A316" s="504">
        <v>13</v>
      </c>
      <c r="B316" s="314" t="s">
        <v>24</v>
      </c>
      <c r="C316" s="291" t="s">
        <v>25</v>
      </c>
      <c r="D316" s="295">
        <f>+'7.  Persistence Report'!AS106</f>
        <v>10485.504000000001</v>
      </c>
      <c r="E316" s="295">
        <f>+'7.  Persistence Report'!AT106</f>
        <v>10485.504000000001</v>
      </c>
      <c r="F316" s="295">
        <f>+'7.  Persistence Report'!AU106</f>
        <v>10485.504000000001</v>
      </c>
      <c r="G316" s="295">
        <f>+'7.  Persistence Report'!AV106</f>
        <v>10485.504000000001</v>
      </c>
      <c r="H316" s="295">
        <f>+'7.  Persistence Report'!AW106</f>
        <v>10485.504000000001</v>
      </c>
      <c r="I316" s="295">
        <f>+'7.  Persistence Report'!AX106</f>
        <v>10485.504000000001</v>
      </c>
      <c r="J316" s="295">
        <f>+'7.  Persistence Report'!AY106</f>
        <v>10485.504000000001</v>
      </c>
      <c r="K316" s="295">
        <f>+'7.  Persistence Report'!AZ106</f>
        <v>10485.504000000001</v>
      </c>
      <c r="L316" s="295">
        <f>+'7.  Persistence Report'!BA106</f>
        <v>10485.504000000001</v>
      </c>
      <c r="M316" s="295">
        <f>+'7.  Persistence Report'!BB106</f>
        <v>10485.504000000001</v>
      </c>
      <c r="N316" s="295">
        <v>12</v>
      </c>
      <c r="O316" s="295">
        <f>+'7.  Persistence Report'!N106</f>
        <v>1.379108561</v>
      </c>
      <c r="P316" s="295">
        <f>+'7.  Persistence Report'!O106</f>
        <v>1.379108561</v>
      </c>
      <c r="Q316" s="295">
        <f>+'7.  Persistence Report'!P106</f>
        <v>1.379108561</v>
      </c>
      <c r="R316" s="295">
        <f>+'7.  Persistence Report'!Q106</f>
        <v>1.379108561</v>
      </c>
      <c r="S316" s="295">
        <f>+'7.  Persistence Report'!R106</f>
        <v>1.379108561</v>
      </c>
      <c r="T316" s="295">
        <f>+'7.  Persistence Report'!S106</f>
        <v>1.379108561</v>
      </c>
      <c r="U316" s="295">
        <f>+'7.  Persistence Report'!T106</f>
        <v>1.379108561</v>
      </c>
      <c r="V316" s="295">
        <f>+'7.  Persistence Report'!U106</f>
        <v>1.379108561</v>
      </c>
      <c r="W316" s="295">
        <f>+'7.  Persistence Report'!V106</f>
        <v>1.379108561</v>
      </c>
      <c r="X316" s="295">
        <f>+'7.  Persistence Report'!W106</f>
        <v>1.379108561</v>
      </c>
      <c r="Y316" s="773"/>
      <c r="Z316" s="827">
        <v>1</v>
      </c>
      <c r="AA316" s="828">
        <v>0</v>
      </c>
      <c r="AB316" s="414"/>
      <c r="AC316" s="414"/>
      <c r="AD316" s="414"/>
      <c r="AE316" s="414"/>
      <c r="AF316" s="414"/>
      <c r="AG316" s="414"/>
      <c r="AH316" s="414"/>
      <c r="AI316" s="414"/>
      <c r="AJ316" s="414"/>
      <c r="AK316" s="414"/>
      <c r="AL316" s="414"/>
      <c r="AM316" s="296">
        <f>SUM(Y316:AL316)</f>
        <v>1</v>
      </c>
    </row>
    <row r="317" spans="1:39" ht="15" outlineLevel="1">
      <c r="B317" s="294" t="s">
        <v>249</v>
      </c>
      <c r="C317" s="291" t="s">
        <v>163</v>
      </c>
      <c r="D317" s="295">
        <f>+'7.  Persistence Report'!AS126</f>
        <v>107575.724</v>
      </c>
      <c r="E317" s="295">
        <f>+'7.  Persistence Report'!AT126</f>
        <v>107575.724</v>
      </c>
      <c r="F317" s="295">
        <f>+'7.  Persistence Report'!AU126</f>
        <v>107575.724</v>
      </c>
      <c r="G317" s="295">
        <f>+'7.  Persistence Report'!AV126</f>
        <v>107575.724</v>
      </c>
      <c r="H317" s="295">
        <f>+'7.  Persistence Report'!AW126</f>
        <v>107575.724</v>
      </c>
      <c r="I317" s="295">
        <f>+'7.  Persistence Report'!AX126</f>
        <v>107575.724</v>
      </c>
      <c r="J317" s="295">
        <f>+'7.  Persistence Report'!AY126</f>
        <v>107575.724</v>
      </c>
      <c r="K317" s="295">
        <f>+'7.  Persistence Report'!AZ126</f>
        <v>107575.724</v>
      </c>
      <c r="L317" s="295">
        <f>+'7.  Persistence Report'!BA126</f>
        <v>107575.724</v>
      </c>
      <c r="M317" s="295">
        <f>+'7.  Persistence Report'!BB126</f>
        <v>107575.724</v>
      </c>
      <c r="N317" s="295">
        <f>N316</f>
        <v>12</v>
      </c>
      <c r="O317" s="295">
        <f>+'7.  Persistence Report'!N126</f>
        <v>17.527767950000001</v>
      </c>
      <c r="P317" s="295">
        <f>+'7.  Persistence Report'!O126</f>
        <v>17.527767950000001</v>
      </c>
      <c r="Q317" s="295">
        <f>+'7.  Persistence Report'!P126</f>
        <v>17.527767950000001</v>
      </c>
      <c r="R317" s="295">
        <f>+'7.  Persistence Report'!Q126</f>
        <v>17.527767950000001</v>
      </c>
      <c r="S317" s="295">
        <f>+'7.  Persistence Report'!R126</f>
        <v>17.527767950000001</v>
      </c>
      <c r="T317" s="295">
        <f>+'7.  Persistence Report'!S126</f>
        <v>17.527767950000001</v>
      </c>
      <c r="U317" s="295">
        <f>+'7.  Persistence Report'!T126</f>
        <v>17.527767950000001</v>
      </c>
      <c r="V317" s="295">
        <f>+'7.  Persistence Report'!U126</f>
        <v>17.527767950000001</v>
      </c>
      <c r="W317" s="295">
        <f>+'7.  Persistence Report'!V126</f>
        <v>17.527767950000001</v>
      </c>
      <c r="X317" s="295">
        <f>+'7.  Persistence Report'!W126</f>
        <v>17.527767950000001</v>
      </c>
      <c r="Y317" s="776">
        <f>Y316</f>
        <v>0</v>
      </c>
      <c r="Z317" s="776">
        <f>Z316</f>
        <v>1</v>
      </c>
      <c r="AA317" s="776">
        <f t="shared" ref="AA317" si="145">AA316</f>
        <v>0</v>
      </c>
      <c r="AB317" s="410">
        <f t="shared" ref="AB317:AL317" si="146">AB316</f>
        <v>0</v>
      </c>
      <c r="AC317" s="410">
        <f t="shared" si="146"/>
        <v>0</v>
      </c>
      <c r="AD317" s="410">
        <f t="shared" si="146"/>
        <v>0</v>
      </c>
      <c r="AE317" s="410">
        <f t="shared" si="146"/>
        <v>0</v>
      </c>
      <c r="AF317" s="410">
        <f t="shared" si="146"/>
        <v>0</v>
      </c>
      <c r="AG317" s="410">
        <f t="shared" si="146"/>
        <v>0</v>
      </c>
      <c r="AH317" s="410">
        <f t="shared" si="146"/>
        <v>0</v>
      </c>
      <c r="AI317" s="410">
        <f t="shared" si="146"/>
        <v>0</v>
      </c>
      <c r="AJ317" s="410">
        <f t="shared" si="146"/>
        <v>0</v>
      </c>
      <c r="AK317" s="410">
        <f t="shared" si="146"/>
        <v>0</v>
      </c>
      <c r="AL317" s="410">
        <f t="shared" si="146"/>
        <v>0</v>
      </c>
      <c r="AM317" s="311"/>
    </row>
    <row r="318" spans="1:39" ht="15" outlineLevel="1">
      <c r="B318" s="314"/>
      <c r="C318" s="312"/>
      <c r="D318" s="764"/>
      <c r="E318" s="764"/>
      <c r="F318" s="764"/>
      <c r="G318" s="764"/>
      <c r="H318" s="764"/>
      <c r="I318" s="764"/>
      <c r="J318" s="764"/>
      <c r="K318" s="764"/>
      <c r="L318" s="764"/>
      <c r="M318" s="764"/>
      <c r="N318" s="758"/>
      <c r="O318" s="764"/>
      <c r="P318" s="764"/>
      <c r="Q318" s="764"/>
      <c r="R318" s="764"/>
      <c r="S318" s="764"/>
      <c r="T318" s="764"/>
      <c r="U318" s="764"/>
      <c r="V318" s="764"/>
      <c r="W318" s="764"/>
      <c r="X318" s="764"/>
      <c r="Y318" s="812"/>
      <c r="Z318" s="812"/>
      <c r="AA318" s="812"/>
      <c r="AB318" s="415"/>
      <c r="AC318" s="415"/>
      <c r="AD318" s="415"/>
      <c r="AE318" s="415"/>
      <c r="AF318" s="415"/>
      <c r="AG318" s="415"/>
      <c r="AH318" s="415"/>
      <c r="AI318" s="415"/>
      <c r="AJ318" s="415"/>
      <c r="AK318" s="415"/>
      <c r="AL318" s="415"/>
      <c r="AM318" s="313"/>
    </row>
    <row r="319" spans="1:39" ht="15" outlineLevel="1">
      <c r="A319" s="504">
        <v>14</v>
      </c>
      <c r="B319" s="314" t="s">
        <v>20</v>
      </c>
      <c r="C319" s="291" t="s">
        <v>25</v>
      </c>
      <c r="D319" s="295">
        <f>+'7.  Persistence Report'!AS104</f>
        <v>193803.07118789799</v>
      </c>
      <c r="E319" s="295">
        <f>+'7.  Persistence Report'!AT104</f>
        <v>193803.07118789799</v>
      </c>
      <c r="F319" s="295">
        <f>+'7.  Persistence Report'!AU104</f>
        <v>193803.07118789799</v>
      </c>
      <c r="G319" s="295">
        <f>+'7.  Persistence Report'!AV104</f>
        <v>193803.07118789799</v>
      </c>
      <c r="H319" s="295">
        <f>+'7.  Persistence Report'!AW104</f>
        <v>0</v>
      </c>
      <c r="I319" s="295">
        <f>+'7.  Persistence Report'!AX104</f>
        <v>0</v>
      </c>
      <c r="J319" s="295">
        <f>+'7.  Persistence Report'!AY104</f>
        <v>0</v>
      </c>
      <c r="K319" s="295">
        <f>+'7.  Persistence Report'!AZ104</f>
        <v>0</v>
      </c>
      <c r="L319" s="295">
        <f>+'7.  Persistence Report'!BA104</f>
        <v>0</v>
      </c>
      <c r="M319" s="295">
        <f>+'7.  Persistence Report'!BB104</f>
        <v>0</v>
      </c>
      <c r="N319" s="295">
        <v>12</v>
      </c>
      <c r="O319" s="295">
        <f>+'7.  Persistence Report'!N104</f>
        <v>35.250706491000003</v>
      </c>
      <c r="P319" s="295">
        <f>+'7.  Persistence Report'!O104</f>
        <v>35.250706491000003</v>
      </c>
      <c r="Q319" s="295">
        <f>+'7.  Persistence Report'!P104</f>
        <v>35.250706491000003</v>
      </c>
      <c r="R319" s="295">
        <f>+'7.  Persistence Report'!Q104</f>
        <v>35.250706491000003</v>
      </c>
      <c r="S319" s="295">
        <f>+'7.  Persistence Report'!R104</f>
        <v>0</v>
      </c>
      <c r="T319" s="295">
        <f>+'7.  Persistence Report'!S104</f>
        <v>0</v>
      </c>
      <c r="U319" s="295">
        <f>+'7.  Persistence Report'!T104</f>
        <v>0</v>
      </c>
      <c r="V319" s="295">
        <f>+'7.  Persistence Report'!U104</f>
        <v>0</v>
      </c>
      <c r="W319" s="295">
        <f>+'7.  Persistence Report'!V104</f>
        <v>0</v>
      </c>
      <c r="X319" s="295">
        <f>+'7.  Persistence Report'!W104</f>
        <v>0</v>
      </c>
      <c r="Y319" s="773"/>
      <c r="Z319" s="827">
        <v>1</v>
      </c>
      <c r="AA319" s="828">
        <v>0</v>
      </c>
      <c r="AB319" s="414"/>
      <c r="AC319" s="414"/>
      <c r="AD319" s="414"/>
      <c r="AE319" s="414"/>
      <c r="AF319" s="414"/>
      <c r="AG319" s="414"/>
      <c r="AH319" s="414"/>
      <c r="AI319" s="414"/>
      <c r="AJ319" s="414"/>
      <c r="AK319" s="414"/>
      <c r="AL319" s="414"/>
      <c r="AM319" s="296">
        <f>SUM(Y319:AL319)</f>
        <v>1</v>
      </c>
    </row>
    <row r="320" spans="1:39" ht="15" outlineLevel="1">
      <c r="B320" s="294" t="s">
        <v>249</v>
      </c>
      <c r="C320" s="291" t="s">
        <v>163</v>
      </c>
      <c r="D320" s="295">
        <f>+'7.  Persistence Report'!AS124+'7.  Persistence Report'!AS125</f>
        <v>48611.4432696</v>
      </c>
      <c r="E320" s="295">
        <f>+'7.  Persistence Report'!AT124+'7.  Persistence Report'!AT125</f>
        <v>48611.4432696</v>
      </c>
      <c r="F320" s="295">
        <f>+'7.  Persistence Report'!AU124+'7.  Persistence Report'!AU125</f>
        <v>48611.4432696</v>
      </c>
      <c r="G320" s="295">
        <f>+'7.  Persistence Report'!AV124+'7.  Persistence Report'!AV125</f>
        <v>48611.4432696</v>
      </c>
      <c r="H320" s="295">
        <f>+'7.  Persistence Report'!AW124+'7.  Persistence Report'!AW125</f>
        <v>0</v>
      </c>
      <c r="I320" s="295">
        <f>+'7.  Persistence Report'!AX124+'7.  Persistence Report'!AX125</f>
        <v>0</v>
      </c>
      <c r="J320" s="295">
        <f>+'7.  Persistence Report'!AY124+'7.  Persistence Report'!AY125</f>
        <v>0</v>
      </c>
      <c r="K320" s="295">
        <f>+'7.  Persistence Report'!AZ124+'7.  Persistence Report'!AZ125</f>
        <v>0</v>
      </c>
      <c r="L320" s="295">
        <f>+'7.  Persistence Report'!BA124+'7.  Persistence Report'!BA125</f>
        <v>0</v>
      </c>
      <c r="M320" s="295">
        <f>+'7.  Persistence Report'!BB124+'7.  Persistence Report'!BB125</f>
        <v>0</v>
      </c>
      <c r="N320" s="295">
        <f>N319</f>
        <v>12</v>
      </c>
      <c r="O320" s="295">
        <f>+'7.  Persistence Report'!N124+'7.  Persistence Report'!N125</f>
        <v>8.8419017740000001</v>
      </c>
      <c r="P320" s="295">
        <f>+'7.  Persistence Report'!O124+'7.  Persistence Report'!O125</f>
        <v>8.8419017740000001</v>
      </c>
      <c r="Q320" s="295">
        <f>+'7.  Persistence Report'!P124+'7.  Persistence Report'!P125</f>
        <v>8.8419017740000001</v>
      </c>
      <c r="R320" s="295">
        <f>+'7.  Persistence Report'!Q124+'7.  Persistence Report'!Q125</f>
        <v>8.8419017740000001</v>
      </c>
      <c r="S320" s="295">
        <f>+'7.  Persistence Report'!R124+'7.  Persistence Report'!R125</f>
        <v>0</v>
      </c>
      <c r="T320" s="295">
        <f>+'7.  Persistence Report'!S124+'7.  Persistence Report'!S125</f>
        <v>0</v>
      </c>
      <c r="U320" s="295">
        <f>+'7.  Persistence Report'!T124+'7.  Persistence Report'!T125</f>
        <v>0</v>
      </c>
      <c r="V320" s="295">
        <f>+'7.  Persistence Report'!U124+'7.  Persistence Report'!U125</f>
        <v>0</v>
      </c>
      <c r="W320" s="295">
        <f>+'7.  Persistence Report'!V124+'7.  Persistence Report'!V125</f>
        <v>0</v>
      </c>
      <c r="X320" s="295">
        <f>+'7.  Persistence Report'!W124+'7.  Persistence Report'!W125</f>
        <v>0</v>
      </c>
      <c r="Y320" s="776">
        <f>Y319</f>
        <v>0</v>
      </c>
      <c r="Z320" s="776">
        <f>Z319</f>
        <v>1</v>
      </c>
      <c r="AA320" s="776">
        <f t="shared" ref="AA320" si="147">AA319</f>
        <v>0</v>
      </c>
      <c r="AB320" s="410">
        <f t="shared" ref="AB320:AL320" si="148">AB319</f>
        <v>0</v>
      </c>
      <c r="AC320" s="410">
        <f t="shared" si="148"/>
        <v>0</v>
      </c>
      <c r="AD320" s="410">
        <f t="shared" si="148"/>
        <v>0</v>
      </c>
      <c r="AE320" s="410">
        <f t="shared" si="148"/>
        <v>0</v>
      </c>
      <c r="AF320" s="410">
        <f t="shared" si="148"/>
        <v>0</v>
      </c>
      <c r="AG320" s="410">
        <f t="shared" si="148"/>
        <v>0</v>
      </c>
      <c r="AH320" s="410">
        <f t="shared" si="148"/>
        <v>0</v>
      </c>
      <c r="AI320" s="410">
        <f t="shared" si="148"/>
        <v>0</v>
      </c>
      <c r="AJ320" s="410">
        <f t="shared" si="148"/>
        <v>0</v>
      </c>
      <c r="AK320" s="410">
        <f t="shared" si="148"/>
        <v>0</v>
      </c>
      <c r="AL320" s="410">
        <f t="shared" si="148"/>
        <v>0</v>
      </c>
      <c r="AM320" s="311"/>
    </row>
    <row r="321" spans="1:39" ht="15" outlineLevel="1">
      <c r="B321" s="314"/>
      <c r="C321" s="312"/>
      <c r="D321" s="764"/>
      <c r="E321" s="764"/>
      <c r="F321" s="764"/>
      <c r="G321" s="764"/>
      <c r="H321" s="764"/>
      <c r="I321" s="764"/>
      <c r="J321" s="764"/>
      <c r="K321" s="764"/>
      <c r="L321" s="764"/>
      <c r="M321" s="764"/>
      <c r="N321" s="758"/>
      <c r="O321" s="764"/>
      <c r="P321" s="764"/>
      <c r="Q321" s="764"/>
      <c r="R321" s="764"/>
      <c r="S321" s="764"/>
      <c r="T321" s="764"/>
      <c r="U321" s="764"/>
      <c r="V321" s="764"/>
      <c r="W321" s="764"/>
      <c r="X321" s="764"/>
      <c r="Y321" s="812"/>
      <c r="Z321" s="818"/>
      <c r="AA321" s="812"/>
      <c r="AB321" s="415"/>
      <c r="AC321" s="415"/>
      <c r="AD321" s="415"/>
      <c r="AE321" s="415"/>
      <c r="AF321" s="415"/>
      <c r="AG321" s="415"/>
      <c r="AH321" s="415"/>
      <c r="AI321" s="415"/>
      <c r="AJ321" s="415"/>
      <c r="AK321" s="415"/>
      <c r="AL321" s="415"/>
      <c r="AM321" s="313"/>
    </row>
    <row r="322" spans="1:39" s="283" customFormat="1" ht="15" outlineLevel="1">
      <c r="A322" s="504">
        <v>15</v>
      </c>
      <c r="B322" s="314" t="s">
        <v>486</v>
      </c>
      <c r="C322" s="291" t="s">
        <v>25</v>
      </c>
      <c r="D322" s="295"/>
      <c r="E322" s="295"/>
      <c r="F322" s="295"/>
      <c r="G322" s="295"/>
      <c r="H322" s="295"/>
      <c r="I322" s="295"/>
      <c r="J322" s="295"/>
      <c r="K322" s="295"/>
      <c r="L322" s="295"/>
      <c r="M322" s="295"/>
      <c r="N322" s="758"/>
      <c r="O322" s="295"/>
      <c r="P322" s="295"/>
      <c r="Q322" s="295"/>
      <c r="R322" s="295"/>
      <c r="S322" s="295"/>
      <c r="T322" s="295"/>
      <c r="U322" s="295"/>
      <c r="V322" s="295"/>
      <c r="W322" s="295"/>
      <c r="X322" s="295"/>
      <c r="Y322" s="773"/>
      <c r="Z322" s="773"/>
      <c r="AA322" s="773"/>
      <c r="AB322" s="414"/>
      <c r="AC322" s="414"/>
      <c r="AD322" s="414"/>
      <c r="AE322" s="414"/>
      <c r="AF322" s="414"/>
      <c r="AG322" s="414"/>
      <c r="AH322" s="414"/>
      <c r="AI322" s="414"/>
      <c r="AJ322" s="414"/>
      <c r="AK322" s="414"/>
      <c r="AL322" s="414"/>
      <c r="AM322" s="296">
        <f>SUM(Y322:AL322)</f>
        <v>0</v>
      </c>
    </row>
    <row r="323" spans="1:39" s="283" customFormat="1" ht="15" outlineLevel="1">
      <c r="A323" s="504"/>
      <c r="B323" s="315" t="s">
        <v>249</v>
      </c>
      <c r="C323" s="291" t="s">
        <v>163</v>
      </c>
      <c r="D323" s="295"/>
      <c r="E323" s="295"/>
      <c r="F323" s="295"/>
      <c r="G323" s="295"/>
      <c r="H323" s="295"/>
      <c r="I323" s="295"/>
      <c r="J323" s="295"/>
      <c r="K323" s="295"/>
      <c r="L323" s="295"/>
      <c r="M323" s="295"/>
      <c r="N323" s="758"/>
      <c r="O323" s="295"/>
      <c r="P323" s="295"/>
      <c r="Q323" s="295"/>
      <c r="R323" s="295"/>
      <c r="S323" s="295"/>
      <c r="T323" s="295"/>
      <c r="U323" s="295"/>
      <c r="V323" s="295"/>
      <c r="W323" s="295"/>
      <c r="X323" s="295"/>
      <c r="Y323" s="776">
        <f>Y322</f>
        <v>0</v>
      </c>
      <c r="Z323" s="776">
        <f>Z322</f>
        <v>0</v>
      </c>
      <c r="AA323" s="776">
        <f t="shared" ref="AA323" si="149">AA322</f>
        <v>0</v>
      </c>
      <c r="AB323" s="410">
        <f t="shared" ref="AB323:AL323" si="150">AB322</f>
        <v>0</v>
      </c>
      <c r="AC323" s="410">
        <f t="shared" si="150"/>
        <v>0</v>
      </c>
      <c r="AD323" s="410">
        <f t="shared" si="150"/>
        <v>0</v>
      </c>
      <c r="AE323" s="410">
        <f t="shared" si="150"/>
        <v>0</v>
      </c>
      <c r="AF323" s="410">
        <f t="shared" si="150"/>
        <v>0</v>
      </c>
      <c r="AG323" s="410">
        <f t="shared" si="150"/>
        <v>0</v>
      </c>
      <c r="AH323" s="410">
        <f t="shared" si="150"/>
        <v>0</v>
      </c>
      <c r="AI323" s="410">
        <f t="shared" si="150"/>
        <v>0</v>
      </c>
      <c r="AJ323" s="410">
        <f t="shared" si="150"/>
        <v>0</v>
      </c>
      <c r="AK323" s="410">
        <f t="shared" si="150"/>
        <v>0</v>
      </c>
      <c r="AL323" s="410">
        <f t="shared" si="150"/>
        <v>0</v>
      </c>
      <c r="AM323" s="311"/>
    </row>
    <row r="324" spans="1:39" s="283" customFormat="1" ht="15" outlineLevel="1">
      <c r="A324" s="504"/>
      <c r="B324" s="314"/>
      <c r="C324" s="312"/>
      <c r="D324" s="764"/>
      <c r="E324" s="764"/>
      <c r="F324" s="764"/>
      <c r="G324" s="764"/>
      <c r="H324" s="764"/>
      <c r="I324" s="764"/>
      <c r="J324" s="764"/>
      <c r="K324" s="764"/>
      <c r="L324" s="764"/>
      <c r="M324" s="764"/>
      <c r="N324" s="758"/>
      <c r="O324" s="764"/>
      <c r="P324" s="764"/>
      <c r="Q324" s="764"/>
      <c r="R324" s="764"/>
      <c r="S324" s="764"/>
      <c r="T324" s="764"/>
      <c r="U324" s="764"/>
      <c r="V324" s="764"/>
      <c r="W324" s="764"/>
      <c r="X324" s="764"/>
      <c r="Y324" s="813"/>
      <c r="Z324" s="812"/>
      <c r="AA324" s="812"/>
      <c r="AB324" s="415"/>
      <c r="AC324" s="415"/>
      <c r="AD324" s="415"/>
      <c r="AE324" s="415"/>
      <c r="AF324" s="415"/>
      <c r="AG324" s="415"/>
      <c r="AH324" s="415"/>
      <c r="AI324" s="415"/>
      <c r="AJ324" s="415"/>
      <c r="AK324" s="415"/>
      <c r="AL324" s="415"/>
      <c r="AM324" s="313"/>
    </row>
    <row r="325" spans="1:39" s="283" customFormat="1" ht="30" outlineLevel="1">
      <c r="A325" s="504">
        <v>16</v>
      </c>
      <c r="B325" s="314" t="s">
        <v>487</v>
      </c>
      <c r="C325" s="291" t="s">
        <v>25</v>
      </c>
      <c r="D325" s="295"/>
      <c r="E325" s="295"/>
      <c r="F325" s="295"/>
      <c r="G325" s="295"/>
      <c r="H325" s="295"/>
      <c r="I325" s="295"/>
      <c r="J325" s="295"/>
      <c r="K325" s="295"/>
      <c r="L325" s="295"/>
      <c r="M325" s="295"/>
      <c r="N325" s="758"/>
      <c r="O325" s="295"/>
      <c r="P325" s="295"/>
      <c r="Q325" s="295"/>
      <c r="R325" s="295"/>
      <c r="S325" s="295"/>
      <c r="T325" s="295"/>
      <c r="U325" s="295"/>
      <c r="V325" s="295"/>
      <c r="W325" s="295"/>
      <c r="X325" s="295"/>
      <c r="Y325" s="773"/>
      <c r="Z325" s="773"/>
      <c r="AA325" s="773"/>
      <c r="AB325" s="414"/>
      <c r="AC325" s="414"/>
      <c r="AD325" s="414"/>
      <c r="AE325" s="414"/>
      <c r="AF325" s="414"/>
      <c r="AG325" s="414"/>
      <c r="AH325" s="414"/>
      <c r="AI325" s="414"/>
      <c r="AJ325" s="414"/>
      <c r="AK325" s="414"/>
      <c r="AL325" s="414"/>
      <c r="AM325" s="296">
        <f>SUM(Y325:AL325)</f>
        <v>0</v>
      </c>
    </row>
    <row r="326" spans="1:39" s="283" customFormat="1" ht="15" outlineLevel="1">
      <c r="A326" s="504"/>
      <c r="B326" s="315" t="s">
        <v>249</v>
      </c>
      <c r="C326" s="291" t="s">
        <v>163</v>
      </c>
      <c r="D326" s="295"/>
      <c r="E326" s="295"/>
      <c r="F326" s="295"/>
      <c r="G326" s="295"/>
      <c r="H326" s="295"/>
      <c r="I326" s="295"/>
      <c r="J326" s="295"/>
      <c r="K326" s="295"/>
      <c r="L326" s="295"/>
      <c r="M326" s="295"/>
      <c r="N326" s="758"/>
      <c r="O326" s="295"/>
      <c r="P326" s="295"/>
      <c r="Q326" s="295"/>
      <c r="R326" s="295"/>
      <c r="S326" s="295"/>
      <c r="T326" s="295"/>
      <c r="U326" s="295"/>
      <c r="V326" s="295"/>
      <c r="W326" s="295"/>
      <c r="X326" s="295"/>
      <c r="Y326" s="776">
        <f>Y325</f>
        <v>0</v>
      </c>
      <c r="Z326" s="776">
        <f>Z325</f>
        <v>0</v>
      </c>
      <c r="AA326" s="776">
        <f t="shared" ref="AA326" si="151">AA325</f>
        <v>0</v>
      </c>
      <c r="AB326" s="410">
        <f t="shared" ref="AB326:AL326" si="152">AB325</f>
        <v>0</v>
      </c>
      <c r="AC326" s="410">
        <f t="shared" si="152"/>
        <v>0</v>
      </c>
      <c r="AD326" s="410">
        <f t="shared" si="152"/>
        <v>0</v>
      </c>
      <c r="AE326" s="410">
        <f t="shared" si="152"/>
        <v>0</v>
      </c>
      <c r="AF326" s="410">
        <f t="shared" si="152"/>
        <v>0</v>
      </c>
      <c r="AG326" s="410">
        <f t="shared" si="152"/>
        <v>0</v>
      </c>
      <c r="AH326" s="410">
        <f t="shared" si="152"/>
        <v>0</v>
      </c>
      <c r="AI326" s="410">
        <f t="shared" si="152"/>
        <v>0</v>
      </c>
      <c r="AJ326" s="410">
        <f t="shared" si="152"/>
        <v>0</v>
      </c>
      <c r="AK326" s="410">
        <f t="shared" si="152"/>
        <v>0</v>
      </c>
      <c r="AL326" s="410">
        <f t="shared" si="152"/>
        <v>0</v>
      </c>
      <c r="AM326" s="311"/>
    </row>
    <row r="327" spans="1:39" s="283" customFormat="1" ht="15" outlineLevel="1">
      <c r="A327" s="504"/>
      <c r="B327" s="314"/>
      <c r="C327" s="312"/>
      <c r="D327" s="764"/>
      <c r="E327" s="764"/>
      <c r="F327" s="764"/>
      <c r="G327" s="764"/>
      <c r="H327" s="764"/>
      <c r="I327" s="764"/>
      <c r="J327" s="764"/>
      <c r="K327" s="764"/>
      <c r="L327" s="764"/>
      <c r="M327" s="764"/>
      <c r="N327" s="758"/>
      <c r="O327" s="764"/>
      <c r="P327" s="764"/>
      <c r="Q327" s="764"/>
      <c r="R327" s="764"/>
      <c r="S327" s="764"/>
      <c r="T327" s="764"/>
      <c r="U327" s="764"/>
      <c r="V327" s="764"/>
      <c r="W327" s="764"/>
      <c r="X327" s="764"/>
      <c r="Y327" s="813"/>
      <c r="Z327" s="812"/>
      <c r="AA327" s="812"/>
      <c r="AB327" s="415"/>
      <c r="AC327" s="415"/>
      <c r="AD327" s="415"/>
      <c r="AE327" s="415"/>
      <c r="AF327" s="415"/>
      <c r="AG327" s="415"/>
      <c r="AH327" s="415"/>
      <c r="AI327" s="415"/>
      <c r="AJ327" s="415"/>
      <c r="AK327" s="415"/>
      <c r="AL327" s="415"/>
      <c r="AM327" s="313"/>
    </row>
    <row r="328" spans="1:39" ht="15" outlineLevel="1">
      <c r="A328" s="504">
        <v>17</v>
      </c>
      <c r="B328" s="314" t="s">
        <v>9</v>
      </c>
      <c r="C328" s="291" t="s">
        <v>25</v>
      </c>
      <c r="D328" s="295">
        <f>+'7.  Persistence Report'!AS105+'7.  Persistence Report'!AS121</f>
        <v>45.010000000000218</v>
      </c>
      <c r="E328" s="295">
        <f>+'7.  Persistence Report'!AT105+'7.  Persistence Report'!AT121</f>
        <v>0</v>
      </c>
      <c r="F328" s="295">
        <f>+'7.  Persistence Report'!AU105+'7.  Persistence Report'!AU121</f>
        <v>0</v>
      </c>
      <c r="G328" s="295">
        <f>+'7.  Persistence Report'!AV105+'7.  Persistence Report'!AV121</f>
        <v>0</v>
      </c>
      <c r="H328" s="295">
        <f>+'7.  Persistence Report'!AW105+'7.  Persistence Report'!AW121</f>
        <v>0</v>
      </c>
      <c r="I328" s="295">
        <f>+'7.  Persistence Report'!AX105+'7.  Persistence Report'!AX121</f>
        <v>0</v>
      </c>
      <c r="J328" s="295">
        <f>+'7.  Persistence Report'!AY105+'7.  Persistence Report'!AY121</f>
        <v>0</v>
      </c>
      <c r="K328" s="295">
        <f>+'7.  Persistence Report'!AZ105+'7.  Persistence Report'!AZ121</f>
        <v>0</v>
      </c>
      <c r="L328" s="295">
        <f>+'7.  Persistence Report'!BA105+'7.  Persistence Report'!BA121</f>
        <v>0</v>
      </c>
      <c r="M328" s="295">
        <f>+'7.  Persistence Report'!BB105+'7.  Persistence Report'!BB121</f>
        <v>0</v>
      </c>
      <c r="N328" s="758"/>
      <c r="O328" s="295">
        <f>+'7.  Persistence Report'!N105+'7.  Persistence Report'!N121</f>
        <v>698.9855</v>
      </c>
      <c r="P328" s="295">
        <f>+'7.  Persistence Report'!O105+'7.  Persistence Report'!O121</f>
        <v>0</v>
      </c>
      <c r="Q328" s="295">
        <f>+'7.  Persistence Report'!P105+'7.  Persistence Report'!P121</f>
        <v>0</v>
      </c>
      <c r="R328" s="295">
        <f>+'7.  Persistence Report'!Q105+'7.  Persistence Report'!Q121</f>
        <v>0</v>
      </c>
      <c r="S328" s="295">
        <f>+'7.  Persistence Report'!R105+'7.  Persistence Report'!R121</f>
        <v>0</v>
      </c>
      <c r="T328" s="295">
        <f>+'7.  Persistence Report'!S105+'7.  Persistence Report'!S121</f>
        <v>0</v>
      </c>
      <c r="U328" s="295">
        <f>+'7.  Persistence Report'!T105+'7.  Persistence Report'!T121</f>
        <v>0</v>
      </c>
      <c r="V328" s="295">
        <f>+'7.  Persistence Report'!U105+'7.  Persistence Report'!U121</f>
        <v>0</v>
      </c>
      <c r="W328" s="295">
        <f>+'7.  Persistence Report'!V105+'7.  Persistence Report'!V121</f>
        <v>0</v>
      </c>
      <c r="X328" s="295">
        <f>+'7.  Persistence Report'!W105+'7.  Persistence Report'!W121</f>
        <v>0</v>
      </c>
      <c r="Y328" s="773"/>
      <c r="Z328" s="827">
        <v>1</v>
      </c>
      <c r="AA328" s="828">
        <v>0</v>
      </c>
      <c r="AB328" s="414"/>
      <c r="AC328" s="414"/>
      <c r="AD328" s="414"/>
      <c r="AE328" s="414"/>
      <c r="AF328" s="414"/>
      <c r="AG328" s="414"/>
      <c r="AH328" s="414"/>
      <c r="AI328" s="414"/>
      <c r="AJ328" s="414"/>
      <c r="AK328" s="414"/>
      <c r="AL328" s="414"/>
      <c r="AM328" s="296">
        <f>SUM(Y328:AL328)</f>
        <v>1</v>
      </c>
    </row>
    <row r="329" spans="1:39" ht="15" outlineLevel="1">
      <c r="B329" s="294" t="s">
        <v>249</v>
      </c>
      <c r="C329" s="291" t="s">
        <v>163</v>
      </c>
      <c r="D329" s="295">
        <v>0</v>
      </c>
      <c r="E329" s="295">
        <v>0</v>
      </c>
      <c r="F329" s="295">
        <v>0</v>
      </c>
      <c r="G329" s="295">
        <v>0</v>
      </c>
      <c r="H329" s="295">
        <v>0</v>
      </c>
      <c r="I329" s="295">
        <v>0</v>
      </c>
      <c r="J329" s="295">
        <v>0</v>
      </c>
      <c r="K329" s="295">
        <v>0</v>
      </c>
      <c r="L329" s="295">
        <v>0</v>
      </c>
      <c r="M329" s="295">
        <v>0</v>
      </c>
      <c r="N329" s="758"/>
      <c r="O329" s="295">
        <f>+'7.  Persistence Report'!N131</f>
        <v>0</v>
      </c>
      <c r="P329" s="295">
        <f>+'7.  Persistence Report'!O131</f>
        <v>21.332560000000001</v>
      </c>
      <c r="Q329" s="295">
        <f>+'7.  Persistence Report'!P131</f>
        <v>0</v>
      </c>
      <c r="R329" s="295">
        <f>+'7.  Persistence Report'!Q131</f>
        <v>0</v>
      </c>
      <c r="S329" s="295">
        <f>+'7.  Persistence Report'!R131</f>
        <v>0</v>
      </c>
      <c r="T329" s="295">
        <f>+'7.  Persistence Report'!S131</f>
        <v>0</v>
      </c>
      <c r="U329" s="295">
        <f>+'7.  Persistence Report'!T131</f>
        <v>0</v>
      </c>
      <c r="V329" s="295">
        <f>+'7.  Persistence Report'!U131</f>
        <v>0</v>
      </c>
      <c r="W329" s="295">
        <f>+'7.  Persistence Report'!V131</f>
        <v>0</v>
      </c>
      <c r="X329" s="295">
        <f>+'7.  Persistence Report'!W131</f>
        <v>0</v>
      </c>
      <c r="Y329" s="776">
        <f>Y328</f>
        <v>0</v>
      </c>
      <c r="Z329" s="776">
        <f>Z328</f>
        <v>1</v>
      </c>
      <c r="AA329" s="776">
        <f t="shared" ref="AA329" si="153">AA328</f>
        <v>0</v>
      </c>
      <c r="AB329" s="410">
        <f t="shared" ref="AB329:AL329" si="154">AB328</f>
        <v>0</v>
      </c>
      <c r="AC329" s="410">
        <f t="shared" si="154"/>
        <v>0</v>
      </c>
      <c r="AD329" s="410">
        <f t="shared" si="154"/>
        <v>0</v>
      </c>
      <c r="AE329" s="410">
        <f t="shared" si="154"/>
        <v>0</v>
      </c>
      <c r="AF329" s="410">
        <f t="shared" si="154"/>
        <v>0</v>
      </c>
      <c r="AG329" s="410">
        <f t="shared" si="154"/>
        <v>0</v>
      </c>
      <c r="AH329" s="410">
        <f t="shared" si="154"/>
        <v>0</v>
      </c>
      <c r="AI329" s="410">
        <f t="shared" si="154"/>
        <v>0</v>
      </c>
      <c r="AJ329" s="410">
        <f t="shared" si="154"/>
        <v>0</v>
      </c>
      <c r="AK329" s="410">
        <f t="shared" si="154"/>
        <v>0</v>
      </c>
      <c r="AL329" s="410">
        <f t="shared" si="154"/>
        <v>0</v>
      </c>
      <c r="AM329" s="311"/>
    </row>
    <row r="330" spans="1:39" ht="15" outlineLevel="1">
      <c r="B330" s="315"/>
      <c r="C330" s="305"/>
      <c r="D330" s="758"/>
      <c r="E330" s="758"/>
      <c r="F330" s="758"/>
      <c r="G330" s="758"/>
      <c r="H330" s="758"/>
      <c r="I330" s="758"/>
      <c r="J330" s="758"/>
      <c r="K330" s="758"/>
      <c r="L330" s="758"/>
      <c r="M330" s="758"/>
      <c r="N330" s="758"/>
      <c r="O330" s="758"/>
      <c r="P330" s="758"/>
      <c r="Q330" s="758"/>
      <c r="R330" s="758"/>
      <c r="S330" s="758"/>
      <c r="T330" s="758"/>
      <c r="U330" s="758"/>
      <c r="V330" s="758"/>
      <c r="W330" s="758"/>
      <c r="X330" s="758"/>
      <c r="Y330" s="814"/>
      <c r="Z330" s="823"/>
      <c r="AA330" s="823"/>
      <c r="AB330" s="417"/>
      <c r="AC330" s="417"/>
      <c r="AD330" s="417"/>
      <c r="AE330" s="417"/>
      <c r="AF330" s="417"/>
      <c r="AG330" s="417"/>
      <c r="AH330" s="417"/>
      <c r="AI330" s="417"/>
      <c r="AJ330" s="417"/>
      <c r="AK330" s="417"/>
      <c r="AL330" s="417"/>
      <c r="AM330" s="317"/>
    </row>
    <row r="331" spans="1:39" ht="15.75" outlineLevel="1">
      <c r="A331" s="505"/>
      <c r="B331" s="288" t="s">
        <v>10</v>
      </c>
      <c r="C331" s="289"/>
      <c r="D331" s="762"/>
      <c r="E331" s="762"/>
      <c r="F331" s="762"/>
      <c r="G331" s="762"/>
      <c r="H331" s="762"/>
      <c r="I331" s="762"/>
      <c r="J331" s="762"/>
      <c r="K331" s="762"/>
      <c r="L331" s="762"/>
      <c r="M331" s="762"/>
      <c r="N331" s="763"/>
      <c r="O331" s="762"/>
      <c r="P331" s="762"/>
      <c r="Q331" s="762"/>
      <c r="R331" s="762"/>
      <c r="S331" s="762"/>
      <c r="T331" s="762"/>
      <c r="U331" s="762"/>
      <c r="V331" s="762"/>
      <c r="W331" s="762"/>
      <c r="X331" s="762"/>
      <c r="Y331" s="811"/>
      <c r="Z331" s="811"/>
      <c r="AA331" s="811"/>
      <c r="AB331" s="413"/>
      <c r="AC331" s="413"/>
      <c r="AD331" s="413"/>
      <c r="AE331" s="413"/>
      <c r="AF331" s="413"/>
      <c r="AG331" s="413"/>
      <c r="AH331" s="413"/>
      <c r="AI331" s="413"/>
      <c r="AJ331" s="413"/>
      <c r="AK331" s="413"/>
      <c r="AL331" s="413"/>
      <c r="AM331" s="292"/>
    </row>
    <row r="332" spans="1:39" ht="15" outlineLevel="1">
      <c r="A332" s="504">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71"/>
      <c r="Z332" s="773"/>
      <c r="AA332" s="773"/>
      <c r="AB332" s="414"/>
      <c r="AC332" s="414"/>
      <c r="AD332" s="414"/>
      <c r="AE332" s="414"/>
      <c r="AF332" s="414"/>
      <c r="AG332" s="414"/>
      <c r="AH332" s="414"/>
      <c r="AI332" s="414"/>
      <c r="AJ332" s="414"/>
      <c r="AK332" s="414"/>
      <c r="AL332" s="414"/>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76">
        <f>Y332</f>
        <v>0</v>
      </c>
      <c r="Z333" s="776">
        <f>Z332</f>
        <v>0</v>
      </c>
      <c r="AA333" s="776">
        <f t="shared" ref="AA333" si="155">AA332</f>
        <v>0</v>
      </c>
      <c r="AB333" s="410">
        <f t="shared" ref="AB333:AL333" si="156">AB332</f>
        <v>0</v>
      </c>
      <c r="AC333" s="410">
        <f t="shared" si="156"/>
        <v>0</v>
      </c>
      <c r="AD333" s="410">
        <f t="shared" si="156"/>
        <v>0</v>
      </c>
      <c r="AE333" s="410">
        <f t="shared" si="156"/>
        <v>0</v>
      </c>
      <c r="AF333" s="410">
        <f t="shared" si="156"/>
        <v>0</v>
      </c>
      <c r="AG333" s="410">
        <f t="shared" si="156"/>
        <v>0</v>
      </c>
      <c r="AH333" s="410">
        <f t="shared" si="156"/>
        <v>0</v>
      </c>
      <c r="AI333" s="410">
        <f t="shared" si="156"/>
        <v>0</v>
      </c>
      <c r="AJ333" s="410">
        <f t="shared" si="156"/>
        <v>0</v>
      </c>
      <c r="AK333" s="410">
        <f t="shared" si="156"/>
        <v>0</v>
      </c>
      <c r="AL333" s="410">
        <f t="shared" si="156"/>
        <v>0</v>
      </c>
      <c r="AM333" s="297"/>
    </row>
    <row r="334" spans="1:39" ht="15" outlineLevel="1">
      <c r="A334" s="507"/>
      <c r="B334" s="315"/>
      <c r="C334" s="305"/>
      <c r="D334" s="758"/>
      <c r="E334" s="758"/>
      <c r="F334" s="758"/>
      <c r="G334" s="758"/>
      <c r="H334" s="758"/>
      <c r="I334" s="758"/>
      <c r="J334" s="758"/>
      <c r="K334" s="758"/>
      <c r="L334" s="758"/>
      <c r="M334" s="758"/>
      <c r="N334" s="758"/>
      <c r="O334" s="758"/>
      <c r="P334" s="758"/>
      <c r="Q334" s="758"/>
      <c r="R334" s="758"/>
      <c r="S334" s="758"/>
      <c r="T334" s="758"/>
      <c r="U334" s="758"/>
      <c r="V334" s="758"/>
      <c r="W334" s="758"/>
      <c r="X334" s="758"/>
      <c r="Y334" s="777"/>
      <c r="Z334" s="824"/>
      <c r="AA334" s="824"/>
      <c r="AB334" s="418"/>
      <c r="AC334" s="418"/>
      <c r="AD334" s="418"/>
      <c r="AE334" s="418"/>
      <c r="AF334" s="418"/>
      <c r="AG334" s="418"/>
      <c r="AH334" s="418"/>
      <c r="AI334" s="418"/>
      <c r="AJ334" s="418"/>
      <c r="AK334" s="418"/>
      <c r="AL334" s="418"/>
      <c r="AM334" s="306"/>
    </row>
    <row r="335" spans="1:39" ht="15" outlineLevel="1">
      <c r="A335" s="504">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72"/>
      <c r="Z335" s="773"/>
      <c r="AA335" s="773"/>
      <c r="AB335" s="414"/>
      <c r="AC335" s="414"/>
      <c r="AD335" s="414"/>
      <c r="AE335" s="414"/>
      <c r="AF335" s="414"/>
      <c r="AG335" s="414"/>
      <c r="AH335" s="414"/>
      <c r="AI335" s="414"/>
      <c r="AJ335" s="414"/>
      <c r="AK335" s="414"/>
      <c r="AL335" s="414"/>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76">
        <f>Y335</f>
        <v>0</v>
      </c>
      <c r="Z336" s="776">
        <f>Z335</f>
        <v>0</v>
      </c>
      <c r="AA336" s="776">
        <f t="shared" ref="AA336" si="157">AA335</f>
        <v>0</v>
      </c>
      <c r="AB336" s="410">
        <f t="shared" ref="AB336:AL336" si="158">AB335</f>
        <v>0</v>
      </c>
      <c r="AC336" s="410">
        <f t="shared" si="158"/>
        <v>0</v>
      </c>
      <c r="AD336" s="410">
        <f t="shared" si="158"/>
        <v>0</v>
      </c>
      <c r="AE336" s="410">
        <f t="shared" si="158"/>
        <v>0</v>
      </c>
      <c r="AF336" s="410">
        <f t="shared" si="158"/>
        <v>0</v>
      </c>
      <c r="AG336" s="410">
        <f t="shared" si="158"/>
        <v>0</v>
      </c>
      <c r="AH336" s="410">
        <f t="shared" si="158"/>
        <v>0</v>
      </c>
      <c r="AI336" s="410">
        <f t="shared" si="158"/>
        <v>0</v>
      </c>
      <c r="AJ336" s="410">
        <f t="shared" si="158"/>
        <v>0</v>
      </c>
      <c r="AK336" s="410">
        <f t="shared" si="158"/>
        <v>0</v>
      </c>
      <c r="AL336" s="410">
        <f t="shared" si="158"/>
        <v>0</v>
      </c>
      <c r="AM336" s="297"/>
    </row>
    <row r="337" spans="1:39" ht="15" outlineLevel="1">
      <c r="B337" s="315"/>
      <c r="C337" s="305"/>
      <c r="D337" s="758"/>
      <c r="E337" s="758"/>
      <c r="F337" s="758"/>
      <c r="G337" s="758"/>
      <c r="H337" s="758"/>
      <c r="I337" s="758"/>
      <c r="J337" s="758"/>
      <c r="K337" s="758"/>
      <c r="L337" s="758"/>
      <c r="M337" s="758"/>
      <c r="N337" s="758"/>
      <c r="O337" s="758"/>
      <c r="P337" s="758"/>
      <c r="Q337" s="758"/>
      <c r="R337" s="758"/>
      <c r="S337" s="758"/>
      <c r="T337" s="758"/>
      <c r="U337" s="758"/>
      <c r="V337" s="758"/>
      <c r="W337" s="758"/>
      <c r="X337" s="758"/>
      <c r="Y337" s="815"/>
      <c r="Z337" s="815"/>
      <c r="AA337" s="777"/>
      <c r="AB337" s="411"/>
      <c r="AC337" s="411"/>
      <c r="AD337" s="411"/>
      <c r="AE337" s="411"/>
      <c r="AF337" s="411"/>
      <c r="AG337" s="411"/>
      <c r="AH337" s="411"/>
      <c r="AI337" s="411"/>
      <c r="AJ337" s="411"/>
      <c r="AK337" s="411"/>
      <c r="AL337" s="411"/>
      <c r="AM337" s="306"/>
    </row>
    <row r="338" spans="1:39" ht="15" outlineLevel="1">
      <c r="A338" s="504">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72"/>
      <c r="Z338" s="827">
        <v>0</v>
      </c>
      <c r="AA338" s="828">
        <v>1</v>
      </c>
      <c r="AB338" s="414"/>
      <c r="AC338" s="465"/>
      <c r="AD338" s="414"/>
      <c r="AE338" s="414"/>
      <c r="AF338" s="414"/>
      <c r="AG338" s="414"/>
      <c r="AH338" s="414"/>
      <c r="AI338" s="414"/>
      <c r="AJ338" s="414"/>
      <c r="AK338" s="414"/>
      <c r="AL338" s="414"/>
      <c r="AM338" s="296">
        <f>SUM(Y338:AL338)</f>
        <v>1</v>
      </c>
    </row>
    <row r="339" spans="1:39" ht="15" outlineLevel="1">
      <c r="B339" s="294" t="s">
        <v>249</v>
      </c>
      <c r="C339" s="291" t="s">
        <v>163</v>
      </c>
      <c r="D339" s="295">
        <f>+'7.  Persistence Report'!AS133</f>
        <v>413307.69231000001</v>
      </c>
      <c r="E339" s="295">
        <f>+'7.  Persistence Report'!AT133</f>
        <v>413307.69231000001</v>
      </c>
      <c r="F339" s="295">
        <f>+'7.  Persistence Report'!AU133</f>
        <v>413307.69231000001</v>
      </c>
      <c r="G339" s="295">
        <f>+'7.  Persistence Report'!AV133</f>
        <v>402840</v>
      </c>
      <c r="H339" s="295">
        <f>+'7.  Persistence Report'!AW133</f>
        <v>402840</v>
      </c>
      <c r="I339" s="295">
        <f>+'7.  Persistence Report'!AX133</f>
        <v>402840</v>
      </c>
      <c r="J339" s="295">
        <f>+'7.  Persistence Report'!AY133</f>
        <v>402840</v>
      </c>
      <c r="K339" s="295">
        <f>+'7.  Persistence Report'!AZ133</f>
        <v>402840</v>
      </c>
      <c r="L339" s="295">
        <f>+'7.  Persistence Report'!BA133</f>
        <v>402840</v>
      </c>
      <c r="M339" s="295">
        <f>+'7.  Persistence Report'!BB133</f>
        <v>402840</v>
      </c>
      <c r="N339" s="295">
        <f>N338</f>
        <v>12</v>
      </c>
      <c r="O339" s="295">
        <f>+'7.  Persistence Report'!N133</f>
        <v>46.347498000000002</v>
      </c>
      <c r="P339" s="295">
        <f>+'7.  Persistence Report'!O133</f>
        <v>46.347498000000002</v>
      </c>
      <c r="Q339" s="295">
        <f>+'7.  Persistence Report'!P133</f>
        <v>46.347498000000002</v>
      </c>
      <c r="R339" s="295">
        <f>+'7.  Persistence Report'!Q133</f>
        <v>46.17</v>
      </c>
      <c r="S339" s="295">
        <f>+'7.  Persistence Report'!R133</f>
        <v>46.17</v>
      </c>
      <c r="T339" s="295">
        <f>+'7.  Persistence Report'!S133</f>
        <v>46.17</v>
      </c>
      <c r="U339" s="295">
        <f>+'7.  Persistence Report'!T133</f>
        <v>46.17</v>
      </c>
      <c r="V339" s="295">
        <f>+'7.  Persistence Report'!U133</f>
        <v>46.17</v>
      </c>
      <c r="W339" s="295">
        <f>+'7.  Persistence Report'!V133</f>
        <v>46.17</v>
      </c>
      <c r="X339" s="295">
        <f>+'7.  Persistence Report'!W133</f>
        <v>46.17</v>
      </c>
      <c r="Y339" s="776">
        <f>Y338</f>
        <v>0</v>
      </c>
      <c r="Z339" s="776">
        <f>Z338</f>
        <v>0</v>
      </c>
      <c r="AA339" s="776">
        <f t="shared" ref="AA339" si="159">AA338</f>
        <v>1</v>
      </c>
      <c r="AB339" s="410">
        <f t="shared" ref="AB339:AL339" si="160">AB338</f>
        <v>0</v>
      </c>
      <c r="AC339" s="410">
        <f t="shared" si="160"/>
        <v>0</v>
      </c>
      <c r="AD339" s="410">
        <f t="shared" si="160"/>
        <v>0</v>
      </c>
      <c r="AE339" s="410">
        <f t="shared" si="160"/>
        <v>0</v>
      </c>
      <c r="AF339" s="410">
        <f t="shared" si="160"/>
        <v>0</v>
      </c>
      <c r="AG339" s="410">
        <f t="shared" si="160"/>
        <v>0</v>
      </c>
      <c r="AH339" s="410">
        <f t="shared" si="160"/>
        <v>0</v>
      </c>
      <c r="AI339" s="410">
        <f t="shared" si="160"/>
        <v>0</v>
      </c>
      <c r="AJ339" s="410">
        <f t="shared" si="160"/>
        <v>0</v>
      </c>
      <c r="AK339" s="410">
        <f t="shared" si="160"/>
        <v>0</v>
      </c>
      <c r="AL339" s="410">
        <f t="shared" si="160"/>
        <v>0</v>
      </c>
      <c r="AM339" s="306"/>
    </row>
    <row r="340" spans="1:39" ht="15" outlineLevel="1">
      <c r="B340" s="315"/>
      <c r="C340" s="305"/>
      <c r="D340" s="758"/>
      <c r="E340" s="758"/>
      <c r="F340" s="758"/>
      <c r="G340" s="758"/>
      <c r="H340" s="758"/>
      <c r="I340" s="758"/>
      <c r="J340" s="758"/>
      <c r="K340" s="758"/>
      <c r="L340" s="758"/>
      <c r="M340" s="758"/>
      <c r="N340" s="816"/>
      <c r="O340" s="758"/>
      <c r="P340" s="758"/>
      <c r="Q340" s="758"/>
      <c r="R340" s="758"/>
      <c r="S340" s="758"/>
      <c r="T340" s="758"/>
      <c r="U340" s="758"/>
      <c r="V340" s="758"/>
      <c r="W340" s="758"/>
      <c r="X340" s="758"/>
      <c r="Y340" s="777"/>
      <c r="Z340" s="777"/>
      <c r="AA340" s="777"/>
      <c r="AB340" s="411"/>
      <c r="AC340" s="411"/>
      <c r="AD340" s="411"/>
      <c r="AE340" s="411"/>
      <c r="AF340" s="411"/>
      <c r="AG340" s="411"/>
      <c r="AH340" s="411"/>
      <c r="AI340" s="411"/>
      <c r="AJ340" s="411"/>
      <c r="AK340" s="411"/>
      <c r="AL340" s="411"/>
      <c r="AM340" s="306"/>
    </row>
    <row r="341" spans="1:39" ht="15" outlineLevel="1">
      <c r="A341" s="504">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72"/>
      <c r="Z341" s="773"/>
      <c r="AA341" s="773"/>
      <c r="AB341" s="414"/>
      <c r="AC341" s="414"/>
      <c r="AD341" s="414"/>
      <c r="AE341" s="414"/>
      <c r="AF341" s="414"/>
      <c r="AG341" s="414"/>
      <c r="AH341" s="414"/>
      <c r="AI341" s="414"/>
      <c r="AJ341" s="414"/>
      <c r="AK341" s="414"/>
      <c r="AL341" s="414"/>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76">
        <f>Y341</f>
        <v>0</v>
      </c>
      <c r="Z342" s="776">
        <f>Z341</f>
        <v>0</v>
      </c>
      <c r="AA342" s="776">
        <f t="shared" ref="AA342" si="161">AA341</f>
        <v>0</v>
      </c>
      <c r="AB342" s="410">
        <f t="shared" ref="AB342:AL342" si="162">AB341</f>
        <v>0</v>
      </c>
      <c r="AC342" s="410">
        <f t="shared" si="162"/>
        <v>0</v>
      </c>
      <c r="AD342" s="410">
        <f t="shared" si="162"/>
        <v>0</v>
      </c>
      <c r="AE342" s="410">
        <f t="shared" si="162"/>
        <v>0</v>
      </c>
      <c r="AF342" s="410">
        <f t="shared" si="162"/>
        <v>0</v>
      </c>
      <c r="AG342" s="410">
        <f t="shared" si="162"/>
        <v>0</v>
      </c>
      <c r="AH342" s="410">
        <f t="shared" si="162"/>
        <v>0</v>
      </c>
      <c r="AI342" s="410">
        <f t="shared" si="162"/>
        <v>0</v>
      </c>
      <c r="AJ342" s="410">
        <f t="shared" si="162"/>
        <v>0</v>
      </c>
      <c r="AK342" s="410">
        <f t="shared" si="162"/>
        <v>0</v>
      </c>
      <c r="AL342" s="410">
        <f t="shared" si="162"/>
        <v>0</v>
      </c>
      <c r="AM342" s="297"/>
    </row>
    <row r="343" spans="1:39" ht="15" outlineLevel="1">
      <c r="B343" s="315"/>
      <c r="C343" s="305"/>
      <c r="D343" s="758"/>
      <c r="E343" s="758"/>
      <c r="F343" s="758"/>
      <c r="G343" s="758"/>
      <c r="H343" s="758"/>
      <c r="I343" s="758"/>
      <c r="J343" s="758"/>
      <c r="K343" s="758"/>
      <c r="L343" s="758"/>
      <c r="M343" s="758"/>
      <c r="N343" s="758"/>
      <c r="O343" s="758"/>
      <c r="P343" s="758"/>
      <c r="Q343" s="758"/>
      <c r="R343" s="758"/>
      <c r="S343" s="758"/>
      <c r="T343" s="758"/>
      <c r="U343" s="758"/>
      <c r="V343" s="758"/>
      <c r="W343" s="758"/>
      <c r="X343" s="758"/>
      <c r="Y343" s="815"/>
      <c r="Z343" s="777"/>
      <c r="AA343" s="777"/>
      <c r="AB343" s="411"/>
      <c r="AC343" s="411"/>
      <c r="AD343" s="411"/>
      <c r="AE343" s="411"/>
      <c r="AF343" s="411"/>
      <c r="AG343" s="411"/>
      <c r="AH343" s="411"/>
      <c r="AI343" s="411"/>
      <c r="AJ343" s="411"/>
      <c r="AK343" s="411"/>
      <c r="AL343" s="411"/>
      <c r="AM343" s="306"/>
    </row>
    <row r="344" spans="1:39" ht="15" outlineLevel="1">
      <c r="A344" s="504">
        <v>22</v>
      </c>
      <c r="B344" s="315" t="s">
        <v>9</v>
      </c>
      <c r="C344" s="291" t="s">
        <v>25</v>
      </c>
      <c r="D344" s="295">
        <f>+'7.  Persistence Report'!AS119+'7.  Persistence Report'!AS122</f>
        <v>168748.40299999999</v>
      </c>
      <c r="E344" s="295">
        <f>+'7.  Persistence Report'!AT119+'7.  Persistence Report'!AT122</f>
        <v>0</v>
      </c>
      <c r="F344" s="295">
        <f>+'7.  Persistence Report'!AU119+'7.  Persistence Report'!AU122</f>
        <v>0</v>
      </c>
      <c r="G344" s="295">
        <f>+'7.  Persistence Report'!AV119+'7.  Persistence Report'!AV122</f>
        <v>0</v>
      </c>
      <c r="H344" s="295">
        <f>+'7.  Persistence Report'!AW119+'7.  Persistence Report'!AW122</f>
        <v>0</v>
      </c>
      <c r="I344" s="295">
        <f>+'7.  Persistence Report'!AX119+'7.  Persistence Report'!AX122</f>
        <v>0</v>
      </c>
      <c r="J344" s="295">
        <f>+'7.  Persistence Report'!AY119+'7.  Persistence Report'!AY122</f>
        <v>0</v>
      </c>
      <c r="K344" s="295">
        <f>+'7.  Persistence Report'!AZ119+'7.  Persistence Report'!AZ122</f>
        <v>0</v>
      </c>
      <c r="L344" s="295">
        <f>+'7.  Persistence Report'!BA119+'7.  Persistence Report'!BA122</f>
        <v>0</v>
      </c>
      <c r="M344" s="295">
        <f>+'7.  Persistence Report'!BB119+'7.  Persistence Report'!BB122</f>
        <v>0</v>
      </c>
      <c r="N344" s="758"/>
      <c r="O344" s="295">
        <f>+'7.  Persistence Report'!N119+'7.  Persistence Report'!N122</f>
        <v>6320.99874</v>
      </c>
      <c r="P344" s="295">
        <f>+'7.  Persistence Report'!O119+'7.  Persistence Report'!O122</f>
        <v>0</v>
      </c>
      <c r="Q344" s="295">
        <f>+'7.  Persistence Report'!P119+'7.  Persistence Report'!P122</f>
        <v>0</v>
      </c>
      <c r="R344" s="295">
        <f>+'7.  Persistence Report'!Q119+'7.  Persistence Report'!Q122</f>
        <v>0</v>
      </c>
      <c r="S344" s="295">
        <f>+'7.  Persistence Report'!R119+'7.  Persistence Report'!R122</f>
        <v>0</v>
      </c>
      <c r="T344" s="295">
        <f>+'7.  Persistence Report'!S119+'7.  Persistence Report'!S122</f>
        <v>0</v>
      </c>
      <c r="U344" s="295">
        <f>+'7.  Persistence Report'!T119+'7.  Persistence Report'!T122</f>
        <v>0</v>
      </c>
      <c r="V344" s="295">
        <f>+'7.  Persistence Report'!U119+'7.  Persistence Report'!U122</f>
        <v>0</v>
      </c>
      <c r="W344" s="295">
        <f>+'7.  Persistence Report'!V119+'7.  Persistence Report'!V122</f>
        <v>0</v>
      </c>
      <c r="X344" s="295">
        <f>+'7.  Persistence Report'!W119+'7.  Persistence Report'!W122</f>
        <v>0</v>
      </c>
      <c r="Y344" s="772"/>
      <c r="Z344" s="827">
        <v>0</v>
      </c>
      <c r="AA344" s="828">
        <v>1</v>
      </c>
      <c r="AB344" s="414"/>
      <c r="AC344" s="414"/>
      <c r="AD344" s="414"/>
      <c r="AE344" s="414"/>
      <c r="AF344" s="414"/>
      <c r="AG344" s="414"/>
      <c r="AH344" s="414"/>
      <c r="AI344" s="414"/>
      <c r="AJ344" s="414"/>
      <c r="AK344" s="414"/>
      <c r="AL344" s="414"/>
      <c r="AM344" s="296">
        <f>SUM(Y344:AL344)</f>
        <v>1</v>
      </c>
    </row>
    <row r="345" spans="1:39" ht="15" outlineLevel="1">
      <c r="B345" s="294" t="s">
        <v>249</v>
      </c>
      <c r="C345" s="291" t="s">
        <v>163</v>
      </c>
      <c r="D345" s="295"/>
      <c r="E345" s="295"/>
      <c r="F345" s="295"/>
      <c r="G345" s="295"/>
      <c r="H345" s="295"/>
      <c r="I345" s="295"/>
      <c r="J345" s="295"/>
      <c r="K345" s="295"/>
      <c r="L345" s="295"/>
      <c r="M345" s="295"/>
      <c r="N345" s="758"/>
      <c r="O345" s="295"/>
      <c r="P345" s="295"/>
      <c r="Q345" s="295"/>
      <c r="R345" s="295"/>
      <c r="S345" s="295"/>
      <c r="T345" s="295"/>
      <c r="U345" s="295"/>
      <c r="V345" s="295"/>
      <c r="W345" s="295"/>
      <c r="X345" s="295"/>
      <c r="Y345" s="776">
        <f>Y344</f>
        <v>0</v>
      </c>
      <c r="Z345" s="776">
        <f>Z344</f>
        <v>0</v>
      </c>
      <c r="AA345" s="776">
        <f t="shared" ref="AA345" si="163">AA344</f>
        <v>1</v>
      </c>
      <c r="AB345" s="410">
        <f t="shared" ref="AB345:AL345" si="164">AB344</f>
        <v>0</v>
      </c>
      <c r="AC345" s="410">
        <f t="shared" si="164"/>
        <v>0</v>
      </c>
      <c r="AD345" s="410">
        <f t="shared" si="164"/>
        <v>0</v>
      </c>
      <c r="AE345" s="410">
        <f t="shared" si="164"/>
        <v>0</v>
      </c>
      <c r="AF345" s="410">
        <f t="shared" si="164"/>
        <v>0</v>
      </c>
      <c r="AG345" s="410">
        <f t="shared" si="164"/>
        <v>0</v>
      </c>
      <c r="AH345" s="410">
        <f t="shared" si="164"/>
        <v>0</v>
      </c>
      <c r="AI345" s="410">
        <f t="shared" si="164"/>
        <v>0</v>
      </c>
      <c r="AJ345" s="410">
        <f t="shared" si="164"/>
        <v>0</v>
      </c>
      <c r="AK345" s="410">
        <f t="shared" si="164"/>
        <v>0</v>
      </c>
      <c r="AL345" s="410">
        <f t="shared" si="164"/>
        <v>0</v>
      </c>
      <c r="AM345" s="306"/>
    </row>
    <row r="346" spans="1:39" ht="15" outlineLevel="1">
      <c r="B346" s="315"/>
      <c r="C346" s="305"/>
      <c r="D346" s="758"/>
      <c r="E346" s="758"/>
      <c r="F346" s="758"/>
      <c r="G346" s="758"/>
      <c r="H346" s="758"/>
      <c r="I346" s="758"/>
      <c r="J346" s="758"/>
      <c r="K346" s="758"/>
      <c r="L346" s="758"/>
      <c r="M346" s="758"/>
      <c r="N346" s="758"/>
      <c r="O346" s="758"/>
      <c r="P346" s="758"/>
      <c r="Q346" s="758"/>
      <c r="R346" s="758"/>
      <c r="S346" s="758"/>
      <c r="T346" s="758"/>
      <c r="U346" s="758"/>
      <c r="V346" s="758"/>
      <c r="W346" s="758"/>
      <c r="X346" s="758"/>
      <c r="Y346" s="777"/>
      <c r="Z346" s="777"/>
      <c r="AA346" s="777"/>
      <c r="AB346" s="411"/>
      <c r="AC346" s="411"/>
      <c r="AD346" s="411"/>
      <c r="AE346" s="411"/>
      <c r="AF346" s="411"/>
      <c r="AG346" s="411"/>
      <c r="AH346" s="411"/>
      <c r="AI346" s="411"/>
      <c r="AJ346" s="411"/>
      <c r="AK346" s="411"/>
      <c r="AL346" s="411"/>
      <c r="AM346" s="306"/>
    </row>
    <row r="347" spans="1:39" ht="15.75" outlineLevel="1">
      <c r="A347" s="505"/>
      <c r="B347" s="288" t="s">
        <v>14</v>
      </c>
      <c r="C347" s="289"/>
      <c r="D347" s="763"/>
      <c r="E347" s="763"/>
      <c r="F347" s="763"/>
      <c r="G347" s="763"/>
      <c r="H347" s="763"/>
      <c r="I347" s="763"/>
      <c r="J347" s="763"/>
      <c r="K347" s="763"/>
      <c r="L347" s="763"/>
      <c r="M347" s="763"/>
      <c r="N347" s="763"/>
      <c r="O347" s="763"/>
      <c r="P347" s="762"/>
      <c r="Q347" s="762"/>
      <c r="R347" s="762"/>
      <c r="S347" s="762"/>
      <c r="T347" s="762"/>
      <c r="U347" s="762"/>
      <c r="V347" s="762"/>
      <c r="W347" s="762"/>
      <c r="X347" s="762"/>
      <c r="Y347" s="811"/>
      <c r="Z347" s="811"/>
      <c r="AA347" s="811"/>
      <c r="AB347" s="413"/>
      <c r="AC347" s="413"/>
      <c r="AD347" s="413"/>
      <c r="AE347" s="413"/>
      <c r="AF347" s="413"/>
      <c r="AG347" s="413"/>
      <c r="AH347" s="413"/>
      <c r="AI347" s="413"/>
      <c r="AJ347" s="413"/>
      <c r="AK347" s="413"/>
      <c r="AL347" s="413"/>
      <c r="AM347" s="292"/>
    </row>
    <row r="348" spans="1:39" ht="15" outlineLevel="1">
      <c r="A348" s="504">
        <v>23</v>
      </c>
      <c r="B348" s="315" t="s">
        <v>14</v>
      </c>
      <c r="C348" s="291" t="s">
        <v>25</v>
      </c>
      <c r="D348" s="295">
        <f>+'7.  Persistence Report'!AS115</f>
        <v>412583.735778809</v>
      </c>
      <c r="E348" s="295">
        <f>+'7.  Persistence Report'!AT115</f>
        <v>409733.41975402797</v>
      </c>
      <c r="F348" s="295">
        <f>+'7.  Persistence Report'!AU115</f>
        <v>409221.22557830799</v>
      </c>
      <c r="G348" s="295">
        <f>+'7.  Persistence Report'!AV115</f>
        <v>362057.80597305298</v>
      </c>
      <c r="H348" s="295">
        <f>+'7.  Persistence Report'!AW115</f>
        <v>338317.21718215902</v>
      </c>
      <c r="I348" s="295">
        <f>+'7.  Persistence Report'!AX115</f>
        <v>315803.62133407599</v>
      </c>
      <c r="J348" s="295">
        <f>+'7.  Persistence Report'!AY115</f>
        <v>302895.45577621501</v>
      </c>
      <c r="K348" s="295">
        <f>+'7.  Persistence Report'!AZ115</f>
        <v>301450.00125503499</v>
      </c>
      <c r="L348" s="295">
        <f>+'7.  Persistence Report'!BA115</f>
        <v>112987.123764038</v>
      </c>
      <c r="M348" s="295">
        <f>+'7.  Persistence Report'!BB115</f>
        <v>112725.433418274</v>
      </c>
      <c r="N348" s="758"/>
      <c r="O348" s="295">
        <f>+'7.  Persistence Report'!N115</f>
        <v>43.721167960000002</v>
      </c>
      <c r="P348" s="295">
        <f>+'7.  Persistence Report'!O115</f>
        <v>43.573104633</v>
      </c>
      <c r="Q348" s="295">
        <f>+'7.  Persistence Report'!P115</f>
        <v>43.546498026999998</v>
      </c>
      <c r="R348" s="295">
        <f>+'7.  Persistence Report'!Q115</f>
        <v>41.096533540000003</v>
      </c>
      <c r="S348" s="295">
        <f>+'7.  Persistence Report'!R115</f>
        <v>39.872559512999999</v>
      </c>
      <c r="T348" s="295">
        <f>+'7.  Persistence Report'!S115</f>
        <v>38.7030618</v>
      </c>
      <c r="U348" s="295">
        <f>+'7.  Persistence Report'!T115</f>
        <v>38.032530559000001</v>
      </c>
      <c r="V348" s="295">
        <f>+'7.  Persistence Report'!U115</f>
        <v>38.032530559000001</v>
      </c>
      <c r="W348" s="295">
        <f>+'7.  Persistence Report'!V115</f>
        <v>28.242584041000001</v>
      </c>
      <c r="X348" s="295">
        <f>+'7.  Persistence Report'!W115</f>
        <v>27.962383215999999</v>
      </c>
      <c r="Y348" s="825">
        <v>1</v>
      </c>
      <c r="Z348" s="498">
        <v>0</v>
      </c>
      <c r="AA348" s="773">
        <v>0</v>
      </c>
      <c r="AB348" s="409"/>
      <c r="AC348" s="409"/>
      <c r="AD348" s="409"/>
      <c r="AE348" s="409"/>
      <c r="AF348" s="409"/>
      <c r="AG348" s="409"/>
      <c r="AH348" s="409"/>
      <c r="AI348" s="409"/>
      <c r="AJ348" s="409"/>
      <c r="AK348" s="409"/>
      <c r="AL348" s="409"/>
      <c r="AM348" s="296">
        <f>SUM(Y348:AL348)</f>
        <v>1</v>
      </c>
    </row>
    <row r="349" spans="1:39" ht="15" outlineLevel="1">
      <c r="B349" s="294" t="s">
        <v>249</v>
      </c>
      <c r="C349" s="291" t="s">
        <v>163</v>
      </c>
      <c r="D349" s="295">
        <f>+'7.  Persistence Report'!AS129</f>
        <v>26288.23473</v>
      </c>
      <c r="E349" s="295">
        <f>+'7.  Persistence Report'!AT129</f>
        <v>26159.258440000001</v>
      </c>
      <c r="F349" s="295">
        <f>+'7.  Persistence Report'!AU129</f>
        <v>26147.533319999999</v>
      </c>
      <c r="G349" s="295">
        <f>+'7.  Persistence Report'!AV129</f>
        <v>24304.925719999999</v>
      </c>
      <c r="H349" s="295">
        <f>+'7.  Persistence Report'!AW129</f>
        <v>23430.52245</v>
      </c>
      <c r="I349" s="295">
        <f>+'7.  Persistence Report'!AX129</f>
        <v>22556.11924</v>
      </c>
      <c r="J349" s="295">
        <f>+'7.  Persistence Report'!AY129</f>
        <v>22162.490280000002</v>
      </c>
      <c r="K349" s="295">
        <f>+'7.  Persistence Report'!AZ129</f>
        <v>22100.514660000001</v>
      </c>
      <c r="L349" s="295">
        <f>+'7.  Persistence Report'!BA129</f>
        <v>14805.994710000001</v>
      </c>
      <c r="M349" s="295">
        <f>+'7.  Persistence Report'!BB129</f>
        <v>14805.994710000001</v>
      </c>
      <c r="N349" s="759"/>
      <c r="O349" s="295">
        <f>+'7.  Persistence Report'!N129</f>
        <v>4.1034658999999998</v>
      </c>
      <c r="P349" s="295">
        <f>+'7.  Persistence Report'!O129</f>
        <v>4.0968427930000004</v>
      </c>
      <c r="Q349" s="295">
        <f>+'7.  Persistence Report'!P129</f>
        <v>4.0962406930000004</v>
      </c>
      <c r="R349" s="295">
        <f>+'7.  Persistence Report'!Q129</f>
        <v>4.0001818</v>
      </c>
      <c r="S349" s="295">
        <f>+'7.  Persistence Report'!R129</f>
        <v>3.9545607610000002</v>
      </c>
      <c r="T349" s="295">
        <f>+'7.  Persistence Report'!S129</f>
        <v>3.9089397149999994</v>
      </c>
      <c r="U349" s="295">
        <f>+'7.  Persistence Report'!T129</f>
        <v>3.8884207599999998</v>
      </c>
      <c r="V349" s="295">
        <f>+'7.  Persistence Report'!U129</f>
        <v>3.8884207599999998</v>
      </c>
      <c r="W349" s="295">
        <f>+'7.  Persistence Report'!V129</f>
        <v>3.508081185</v>
      </c>
      <c r="X349" s="295">
        <f>+'7.  Persistence Report'!W129</f>
        <v>3.508081185</v>
      </c>
      <c r="Y349" s="776">
        <f>Y348</f>
        <v>1</v>
      </c>
      <c r="Z349" s="776">
        <f>Z348</f>
        <v>0</v>
      </c>
      <c r="AA349" s="776">
        <f t="shared" ref="AA349" si="165">AA348</f>
        <v>0</v>
      </c>
      <c r="AB349" s="410">
        <f t="shared" ref="AB349:AL349" si="166">AB348</f>
        <v>0</v>
      </c>
      <c r="AC349" s="410">
        <f t="shared" si="166"/>
        <v>0</v>
      </c>
      <c r="AD349" s="410">
        <f t="shared" si="166"/>
        <v>0</v>
      </c>
      <c r="AE349" s="410">
        <f t="shared" si="166"/>
        <v>0</v>
      </c>
      <c r="AF349" s="410">
        <f t="shared" si="166"/>
        <v>0</v>
      </c>
      <c r="AG349" s="410">
        <f t="shared" si="166"/>
        <v>0</v>
      </c>
      <c r="AH349" s="410">
        <f t="shared" si="166"/>
        <v>0</v>
      </c>
      <c r="AI349" s="410">
        <f t="shared" si="166"/>
        <v>0</v>
      </c>
      <c r="AJ349" s="410">
        <f t="shared" si="166"/>
        <v>0</v>
      </c>
      <c r="AK349" s="410">
        <f t="shared" si="166"/>
        <v>0</v>
      </c>
      <c r="AL349" s="410">
        <f t="shared" si="166"/>
        <v>0</v>
      </c>
      <c r="AM349" s="297"/>
    </row>
    <row r="350" spans="1:39" ht="15" outlineLevel="1">
      <c r="B350" s="315"/>
      <c r="C350" s="305"/>
      <c r="D350" s="758"/>
      <c r="E350" s="758"/>
      <c r="F350" s="758"/>
      <c r="G350" s="758"/>
      <c r="H350" s="758"/>
      <c r="I350" s="758"/>
      <c r="J350" s="758"/>
      <c r="K350" s="758"/>
      <c r="L350" s="758"/>
      <c r="M350" s="758"/>
      <c r="N350" s="758"/>
      <c r="O350" s="758"/>
      <c r="P350" s="758"/>
      <c r="Q350" s="758"/>
      <c r="R350" s="758"/>
      <c r="S350" s="758"/>
      <c r="T350" s="758"/>
      <c r="U350" s="758"/>
      <c r="V350" s="758"/>
      <c r="W350" s="758"/>
      <c r="X350" s="758"/>
      <c r="Y350" s="777"/>
      <c r="Z350" s="777"/>
      <c r="AA350" s="777"/>
      <c r="AB350" s="411"/>
      <c r="AC350" s="411"/>
      <c r="AD350" s="411"/>
      <c r="AE350" s="411"/>
      <c r="AF350" s="411"/>
      <c r="AG350" s="411"/>
      <c r="AH350" s="411"/>
      <c r="AI350" s="411"/>
      <c r="AJ350" s="411"/>
      <c r="AK350" s="411"/>
      <c r="AL350" s="411"/>
      <c r="AM350" s="306"/>
    </row>
    <row r="351" spans="1:39" s="293" customFormat="1" ht="15.75" outlineLevel="1">
      <c r="A351" s="505"/>
      <c r="B351" s="288" t="s">
        <v>488</v>
      </c>
      <c r="C351" s="289"/>
      <c r="D351" s="763"/>
      <c r="E351" s="763"/>
      <c r="F351" s="763"/>
      <c r="G351" s="763"/>
      <c r="H351" s="763"/>
      <c r="I351" s="763"/>
      <c r="J351" s="763"/>
      <c r="K351" s="763"/>
      <c r="L351" s="763"/>
      <c r="M351" s="763"/>
      <c r="N351" s="763"/>
      <c r="O351" s="763"/>
      <c r="P351" s="762"/>
      <c r="Q351" s="762"/>
      <c r="R351" s="762"/>
      <c r="S351" s="762"/>
      <c r="T351" s="762"/>
      <c r="U351" s="762"/>
      <c r="V351" s="762"/>
      <c r="W351" s="762"/>
      <c r="X351" s="762"/>
      <c r="Y351" s="811"/>
      <c r="Z351" s="811"/>
      <c r="AA351" s="811"/>
      <c r="AB351" s="413"/>
      <c r="AC351" s="413"/>
      <c r="AD351" s="413"/>
      <c r="AE351" s="413"/>
      <c r="AF351" s="413"/>
      <c r="AG351" s="413"/>
      <c r="AH351" s="413"/>
      <c r="AI351" s="413"/>
      <c r="AJ351" s="413"/>
      <c r="AK351" s="413"/>
      <c r="AL351" s="413"/>
      <c r="AM351" s="292"/>
    </row>
    <row r="352" spans="1:39" s="283" customFormat="1" ht="15" outlineLevel="1">
      <c r="A352" s="504">
        <v>24</v>
      </c>
      <c r="B352" s="315" t="s">
        <v>14</v>
      </c>
      <c r="C352" s="291" t="s">
        <v>25</v>
      </c>
      <c r="D352" s="295"/>
      <c r="E352" s="295"/>
      <c r="F352" s="295"/>
      <c r="G352" s="295"/>
      <c r="H352" s="295"/>
      <c r="I352" s="295"/>
      <c r="J352" s="295"/>
      <c r="K352" s="295"/>
      <c r="L352" s="295"/>
      <c r="M352" s="295"/>
      <c r="N352" s="758"/>
      <c r="O352" s="295"/>
      <c r="P352" s="295"/>
      <c r="Q352" s="295"/>
      <c r="R352" s="295"/>
      <c r="S352" s="295"/>
      <c r="T352" s="295"/>
      <c r="U352" s="295"/>
      <c r="V352" s="295"/>
      <c r="W352" s="295"/>
      <c r="X352" s="295"/>
      <c r="Y352" s="772"/>
      <c r="Z352" s="772"/>
      <c r="AA352" s="772"/>
      <c r="AB352" s="409"/>
      <c r="AC352" s="409"/>
      <c r="AD352" s="409"/>
      <c r="AE352" s="409"/>
      <c r="AF352" s="409"/>
      <c r="AG352" s="409"/>
      <c r="AH352" s="409"/>
      <c r="AI352" s="409"/>
      <c r="AJ352" s="409"/>
      <c r="AK352" s="409"/>
      <c r="AL352" s="409"/>
      <c r="AM352" s="296">
        <f>SUM(Y352:AL352)</f>
        <v>0</v>
      </c>
    </row>
    <row r="353" spans="1:39" s="283" customFormat="1" ht="15" outlineLevel="1">
      <c r="A353" s="504"/>
      <c r="B353" s="315" t="s">
        <v>249</v>
      </c>
      <c r="C353" s="291" t="s">
        <v>163</v>
      </c>
      <c r="D353" s="295"/>
      <c r="E353" s="295"/>
      <c r="F353" s="295"/>
      <c r="G353" s="295"/>
      <c r="H353" s="295"/>
      <c r="I353" s="295"/>
      <c r="J353" s="295"/>
      <c r="K353" s="295"/>
      <c r="L353" s="295"/>
      <c r="M353" s="295"/>
      <c r="N353" s="759"/>
      <c r="O353" s="295"/>
      <c r="P353" s="295"/>
      <c r="Q353" s="295"/>
      <c r="R353" s="295"/>
      <c r="S353" s="295"/>
      <c r="T353" s="295"/>
      <c r="U353" s="295"/>
      <c r="V353" s="295"/>
      <c r="W353" s="295"/>
      <c r="X353" s="295"/>
      <c r="Y353" s="776">
        <f>Y352</f>
        <v>0</v>
      </c>
      <c r="Z353" s="776">
        <f>Z352</f>
        <v>0</v>
      </c>
      <c r="AA353" s="776">
        <f t="shared" ref="AA353" si="167">AA352</f>
        <v>0</v>
      </c>
      <c r="AB353" s="410">
        <f t="shared" ref="AB353:AL353" si="168">AB352</f>
        <v>0</v>
      </c>
      <c r="AC353" s="410">
        <f t="shared" si="168"/>
        <v>0</v>
      </c>
      <c r="AD353" s="410">
        <f t="shared" si="168"/>
        <v>0</v>
      </c>
      <c r="AE353" s="410">
        <f t="shared" si="168"/>
        <v>0</v>
      </c>
      <c r="AF353" s="410">
        <f t="shared" si="168"/>
        <v>0</v>
      </c>
      <c r="AG353" s="410">
        <f t="shared" si="168"/>
        <v>0</v>
      </c>
      <c r="AH353" s="410">
        <f t="shared" si="168"/>
        <v>0</v>
      </c>
      <c r="AI353" s="410">
        <f t="shared" si="168"/>
        <v>0</v>
      </c>
      <c r="AJ353" s="410">
        <f t="shared" si="168"/>
        <v>0</v>
      </c>
      <c r="AK353" s="410">
        <f t="shared" si="168"/>
        <v>0</v>
      </c>
      <c r="AL353" s="410">
        <f t="shared" si="168"/>
        <v>0</v>
      </c>
      <c r="AM353" s="297"/>
    </row>
    <row r="354" spans="1:39" s="283" customFormat="1" ht="15" outlineLevel="1">
      <c r="A354" s="504"/>
      <c r="B354" s="315"/>
      <c r="C354" s="305"/>
      <c r="D354" s="758"/>
      <c r="E354" s="758"/>
      <c r="F354" s="758"/>
      <c r="G354" s="758"/>
      <c r="H354" s="758"/>
      <c r="I354" s="758"/>
      <c r="J354" s="758"/>
      <c r="K354" s="758"/>
      <c r="L354" s="758"/>
      <c r="M354" s="758"/>
      <c r="N354" s="758"/>
      <c r="O354" s="758"/>
      <c r="P354" s="758"/>
      <c r="Q354" s="758"/>
      <c r="R354" s="758"/>
      <c r="S354" s="758"/>
      <c r="T354" s="758"/>
      <c r="U354" s="758"/>
      <c r="V354" s="758"/>
      <c r="W354" s="758"/>
      <c r="X354" s="758"/>
      <c r="Y354" s="777"/>
      <c r="Z354" s="777"/>
      <c r="AA354" s="777"/>
      <c r="AB354" s="411"/>
      <c r="AC354" s="411"/>
      <c r="AD354" s="411"/>
      <c r="AE354" s="411"/>
      <c r="AF354" s="411"/>
      <c r="AG354" s="411"/>
      <c r="AH354" s="411"/>
      <c r="AI354" s="411"/>
      <c r="AJ354" s="411"/>
      <c r="AK354" s="411"/>
      <c r="AL354" s="411"/>
      <c r="AM354" s="306"/>
    </row>
    <row r="355" spans="1:39" s="283" customFormat="1" ht="15" outlineLevel="1">
      <c r="A355" s="504">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773"/>
      <c r="Z355" s="773"/>
      <c r="AA355" s="773"/>
      <c r="AB355" s="414"/>
      <c r="AC355" s="414"/>
      <c r="AD355" s="414"/>
      <c r="AE355" s="414"/>
      <c r="AF355" s="414"/>
      <c r="AG355" s="414"/>
      <c r="AH355" s="414"/>
      <c r="AI355" s="414"/>
      <c r="AJ355" s="414"/>
      <c r="AK355" s="414"/>
      <c r="AL355" s="414"/>
      <c r="AM355" s="296">
        <f>SUM(Y355:AL355)</f>
        <v>0</v>
      </c>
    </row>
    <row r="356" spans="1:39" s="283" customFormat="1" ht="15" outlineLevel="1">
      <c r="A356" s="504"/>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76">
        <f>Y355</f>
        <v>0</v>
      </c>
      <c r="Z356" s="776">
        <f>Z355</f>
        <v>0</v>
      </c>
      <c r="AA356" s="776">
        <f t="shared" ref="AA356" si="169">AA355</f>
        <v>0</v>
      </c>
      <c r="AB356" s="410">
        <f t="shared" ref="AB356:AL356" si="170">AB355</f>
        <v>0</v>
      </c>
      <c r="AC356" s="410">
        <f t="shared" si="170"/>
        <v>0</v>
      </c>
      <c r="AD356" s="410">
        <f t="shared" si="170"/>
        <v>0</v>
      </c>
      <c r="AE356" s="410">
        <f t="shared" si="170"/>
        <v>0</v>
      </c>
      <c r="AF356" s="410">
        <f t="shared" si="170"/>
        <v>0</v>
      </c>
      <c r="AG356" s="410">
        <f t="shared" si="170"/>
        <v>0</v>
      </c>
      <c r="AH356" s="410">
        <f t="shared" si="170"/>
        <v>0</v>
      </c>
      <c r="AI356" s="410">
        <f t="shared" si="170"/>
        <v>0</v>
      </c>
      <c r="AJ356" s="410">
        <f t="shared" si="170"/>
        <v>0</v>
      </c>
      <c r="AK356" s="410">
        <f t="shared" si="170"/>
        <v>0</v>
      </c>
      <c r="AL356" s="410">
        <f t="shared" si="170"/>
        <v>0</v>
      </c>
      <c r="AM356" s="311"/>
    </row>
    <row r="357" spans="1:39" s="283" customFormat="1" ht="15" outlineLevel="1">
      <c r="A357" s="504"/>
      <c r="B357" s="314"/>
      <c r="C357" s="312"/>
      <c r="D357" s="758"/>
      <c r="E357" s="758"/>
      <c r="F357" s="758"/>
      <c r="G357" s="758"/>
      <c r="H357" s="758"/>
      <c r="I357" s="758"/>
      <c r="J357" s="758"/>
      <c r="K357" s="758"/>
      <c r="L357" s="758"/>
      <c r="M357" s="758"/>
      <c r="N357" s="758"/>
      <c r="O357" s="758"/>
      <c r="P357" s="758"/>
      <c r="Q357" s="758"/>
      <c r="R357" s="758"/>
      <c r="S357" s="758"/>
      <c r="T357" s="758"/>
      <c r="U357" s="758"/>
      <c r="V357" s="758"/>
      <c r="W357" s="758"/>
      <c r="X357" s="758"/>
      <c r="Y357" s="812"/>
      <c r="Z357" s="818"/>
      <c r="AA357" s="812"/>
      <c r="AB357" s="415"/>
      <c r="AC357" s="415"/>
      <c r="AD357" s="415"/>
      <c r="AE357" s="415"/>
      <c r="AF357" s="415"/>
      <c r="AG357" s="415"/>
      <c r="AH357" s="415"/>
      <c r="AI357" s="415"/>
      <c r="AJ357" s="415"/>
      <c r="AK357" s="415"/>
      <c r="AL357" s="415"/>
      <c r="AM357" s="313"/>
    </row>
    <row r="358" spans="1:39" ht="15.75" outlineLevel="1">
      <c r="A358" s="505"/>
      <c r="B358" s="288" t="s">
        <v>15</v>
      </c>
      <c r="C358" s="319"/>
      <c r="D358" s="763"/>
      <c r="E358" s="762"/>
      <c r="F358" s="762"/>
      <c r="G358" s="762"/>
      <c r="H358" s="762"/>
      <c r="I358" s="762"/>
      <c r="J358" s="762"/>
      <c r="K358" s="762"/>
      <c r="L358" s="762"/>
      <c r="M358" s="762"/>
      <c r="N358" s="758"/>
      <c r="O358" s="762"/>
      <c r="P358" s="762"/>
      <c r="Q358" s="762"/>
      <c r="R358" s="762"/>
      <c r="S358" s="762"/>
      <c r="T358" s="762"/>
      <c r="U358" s="762"/>
      <c r="V358" s="762"/>
      <c r="W358" s="762"/>
      <c r="X358" s="762"/>
      <c r="Y358" s="811"/>
      <c r="Z358" s="811"/>
      <c r="AA358" s="811"/>
      <c r="AB358" s="413"/>
      <c r="AC358" s="413"/>
      <c r="AD358" s="413"/>
      <c r="AE358" s="413"/>
      <c r="AF358" s="413"/>
      <c r="AG358" s="413"/>
      <c r="AH358" s="413"/>
      <c r="AI358" s="413"/>
      <c r="AJ358" s="413"/>
      <c r="AK358" s="413"/>
      <c r="AL358" s="413"/>
      <c r="AM358" s="292"/>
    </row>
    <row r="359" spans="1:39" ht="15" outlineLevel="1">
      <c r="A359" s="504">
        <v>26</v>
      </c>
      <c r="B359" s="320"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71"/>
      <c r="Z359" s="773"/>
      <c r="AA359" s="773"/>
      <c r="AB359" s="414"/>
      <c r="AC359" s="414"/>
      <c r="AD359" s="414"/>
      <c r="AE359" s="414"/>
      <c r="AF359" s="414"/>
      <c r="AG359" s="414"/>
      <c r="AH359" s="414"/>
      <c r="AI359" s="414"/>
      <c r="AJ359" s="414"/>
      <c r="AK359" s="414"/>
      <c r="AL359" s="414"/>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76">
        <f>Y359</f>
        <v>0</v>
      </c>
      <c r="Z360" s="776">
        <f>Z359</f>
        <v>0</v>
      </c>
      <c r="AA360" s="776">
        <f t="shared" ref="AA360" si="171">AA359</f>
        <v>0</v>
      </c>
      <c r="AB360" s="410">
        <f t="shared" ref="AB360:AL360" si="172">AB359</f>
        <v>0</v>
      </c>
      <c r="AC360" s="410">
        <f t="shared" si="172"/>
        <v>0</v>
      </c>
      <c r="AD360" s="410">
        <f t="shared" si="172"/>
        <v>0</v>
      </c>
      <c r="AE360" s="410">
        <f t="shared" si="172"/>
        <v>0</v>
      </c>
      <c r="AF360" s="410">
        <f t="shared" si="172"/>
        <v>0</v>
      </c>
      <c r="AG360" s="410">
        <f t="shared" si="172"/>
        <v>0</v>
      </c>
      <c r="AH360" s="410">
        <f t="shared" si="172"/>
        <v>0</v>
      </c>
      <c r="AI360" s="410">
        <f t="shared" si="172"/>
        <v>0</v>
      </c>
      <c r="AJ360" s="410">
        <f t="shared" si="172"/>
        <v>0</v>
      </c>
      <c r="AK360" s="410">
        <f t="shared" si="172"/>
        <v>0</v>
      </c>
      <c r="AL360" s="410">
        <f t="shared" si="172"/>
        <v>0</v>
      </c>
      <c r="AM360" s="306"/>
    </row>
    <row r="361" spans="1:39" ht="15" outlineLevel="1">
      <c r="A361" s="507"/>
      <c r="B361" s="321"/>
      <c r="C361" s="291"/>
      <c r="D361" s="758"/>
      <c r="E361" s="758"/>
      <c r="F361" s="758"/>
      <c r="G361" s="758"/>
      <c r="H361" s="758"/>
      <c r="I361" s="758"/>
      <c r="J361" s="758"/>
      <c r="K361" s="758"/>
      <c r="L361" s="758"/>
      <c r="M361" s="758"/>
      <c r="N361" s="758"/>
      <c r="O361" s="758"/>
      <c r="P361" s="758"/>
      <c r="Q361" s="758"/>
      <c r="R361" s="758"/>
      <c r="S361" s="758"/>
      <c r="T361" s="758"/>
      <c r="U361" s="758"/>
      <c r="V361" s="758"/>
      <c r="W361" s="758"/>
      <c r="X361" s="758"/>
      <c r="Y361" s="817"/>
      <c r="Z361" s="819"/>
      <c r="AA361" s="819"/>
      <c r="AB361" s="421"/>
      <c r="AC361" s="421"/>
      <c r="AD361" s="421"/>
      <c r="AE361" s="421"/>
      <c r="AF361" s="421"/>
      <c r="AG361" s="421"/>
      <c r="AH361" s="421"/>
      <c r="AI361" s="421"/>
      <c r="AJ361" s="421"/>
      <c r="AK361" s="421"/>
      <c r="AL361" s="421"/>
      <c r="AM361" s="297"/>
    </row>
    <row r="362" spans="1:39" ht="15" outlineLevel="1">
      <c r="A362" s="504">
        <v>27</v>
      </c>
      <c r="B362" s="320"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71"/>
      <c r="Z362" s="773"/>
      <c r="AA362" s="773"/>
      <c r="AB362" s="414"/>
      <c r="AC362" s="414"/>
      <c r="AD362" s="414"/>
      <c r="AE362" s="414"/>
      <c r="AF362" s="414"/>
      <c r="AG362" s="414"/>
      <c r="AH362" s="414"/>
      <c r="AI362" s="414"/>
      <c r="AJ362" s="414"/>
      <c r="AK362" s="414"/>
      <c r="AL362" s="414"/>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76">
        <f>Y362</f>
        <v>0</v>
      </c>
      <c r="Z363" s="776">
        <f>Z362</f>
        <v>0</v>
      </c>
      <c r="AA363" s="776">
        <f t="shared" ref="AA363" si="173">AA362</f>
        <v>0</v>
      </c>
      <c r="AB363" s="410">
        <f t="shared" ref="AB363:AL363" si="174">AB362</f>
        <v>0</v>
      </c>
      <c r="AC363" s="410">
        <f t="shared" si="174"/>
        <v>0</v>
      </c>
      <c r="AD363" s="410">
        <f t="shared" si="174"/>
        <v>0</v>
      </c>
      <c r="AE363" s="410">
        <f t="shared" si="174"/>
        <v>0</v>
      </c>
      <c r="AF363" s="410">
        <f t="shared" si="174"/>
        <v>0</v>
      </c>
      <c r="AG363" s="410">
        <f t="shared" si="174"/>
        <v>0</v>
      </c>
      <c r="AH363" s="410">
        <f t="shared" si="174"/>
        <v>0</v>
      </c>
      <c r="AI363" s="410">
        <f t="shared" si="174"/>
        <v>0</v>
      </c>
      <c r="AJ363" s="410">
        <f t="shared" si="174"/>
        <v>0</v>
      </c>
      <c r="AK363" s="410">
        <f t="shared" si="174"/>
        <v>0</v>
      </c>
      <c r="AL363" s="410">
        <f t="shared" si="174"/>
        <v>0</v>
      </c>
      <c r="AM363" s="306"/>
    </row>
    <row r="364" spans="1:39" ht="15.75" outlineLevel="1">
      <c r="A364" s="507"/>
      <c r="B364" s="322"/>
      <c r="C364" s="300"/>
      <c r="D364" s="758"/>
      <c r="E364" s="758"/>
      <c r="F364" s="758"/>
      <c r="G364" s="758"/>
      <c r="H364" s="758"/>
      <c r="I364" s="758"/>
      <c r="J364" s="758"/>
      <c r="K364" s="758"/>
      <c r="L364" s="758"/>
      <c r="M364" s="758"/>
      <c r="N364" s="761"/>
      <c r="O364" s="758"/>
      <c r="P364" s="758"/>
      <c r="Q364" s="758"/>
      <c r="R364" s="758"/>
      <c r="S364" s="758"/>
      <c r="T364" s="758"/>
      <c r="U364" s="758"/>
      <c r="V364" s="758"/>
      <c r="W364" s="758"/>
      <c r="X364" s="758"/>
      <c r="Y364" s="777"/>
      <c r="Z364" s="777"/>
      <c r="AA364" s="777"/>
      <c r="AB364" s="411"/>
      <c r="AC364" s="411"/>
      <c r="AD364" s="411"/>
      <c r="AE364" s="411"/>
      <c r="AF364" s="411"/>
      <c r="AG364" s="411"/>
      <c r="AH364" s="411"/>
      <c r="AI364" s="411"/>
      <c r="AJ364" s="411"/>
      <c r="AK364" s="411"/>
      <c r="AL364" s="411"/>
      <c r="AM364" s="306"/>
    </row>
    <row r="365" spans="1:39" ht="15" outlineLevel="1">
      <c r="A365" s="504">
        <v>28</v>
      </c>
      <c r="B365" s="320"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71"/>
      <c r="Z365" s="773"/>
      <c r="AA365" s="773"/>
      <c r="AB365" s="414"/>
      <c r="AC365" s="414"/>
      <c r="AD365" s="414"/>
      <c r="AE365" s="414"/>
      <c r="AF365" s="414"/>
      <c r="AG365" s="414"/>
      <c r="AH365" s="414"/>
      <c r="AI365" s="414"/>
      <c r="AJ365" s="414"/>
      <c r="AK365" s="414"/>
      <c r="AL365" s="414"/>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76">
        <f>Y365</f>
        <v>0</v>
      </c>
      <c r="Z366" s="776">
        <f>Z365</f>
        <v>0</v>
      </c>
      <c r="AA366" s="776">
        <f t="shared" ref="AA366" si="175">AA365</f>
        <v>0</v>
      </c>
      <c r="AB366" s="410">
        <f t="shared" ref="AB366:AL366" si="176">AB365</f>
        <v>0</v>
      </c>
      <c r="AC366" s="410">
        <f t="shared" si="176"/>
        <v>0</v>
      </c>
      <c r="AD366" s="410">
        <f t="shared" si="176"/>
        <v>0</v>
      </c>
      <c r="AE366" s="410">
        <f t="shared" si="176"/>
        <v>0</v>
      </c>
      <c r="AF366" s="410">
        <f t="shared" si="176"/>
        <v>0</v>
      </c>
      <c r="AG366" s="410">
        <f t="shared" si="176"/>
        <v>0</v>
      </c>
      <c r="AH366" s="410">
        <f t="shared" si="176"/>
        <v>0</v>
      </c>
      <c r="AI366" s="410">
        <f t="shared" si="176"/>
        <v>0</v>
      </c>
      <c r="AJ366" s="410">
        <f t="shared" si="176"/>
        <v>0</v>
      </c>
      <c r="AK366" s="410">
        <f t="shared" si="176"/>
        <v>0</v>
      </c>
      <c r="AL366" s="410">
        <f t="shared" si="176"/>
        <v>0</v>
      </c>
      <c r="AM366" s="297"/>
    </row>
    <row r="367" spans="1:39" ht="15" outlineLevel="1">
      <c r="A367" s="507"/>
      <c r="B367" s="321"/>
      <c r="C367" s="291"/>
      <c r="D367" s="758"/>
      <c r="E367" s="758"/>
      <c r="F367" s="758"/>
      <c r="G367" s="758"/>
      <c r="H367" s="758"/>
      <c r="I367" s="758"/>
      <c r="J367" s="758"/>
      <c r="K367" s="758"/>
      <c r="L367" s="758"/>
      <c r="M367" s="758"/>
      <c r="N367" s="758"/>
      <c r="O367" s="758"/>
      <c r="P367" s="758"/>
      <c r="Q367" s="758"/>
      <c r="R367" s="758"/>
      <c r="S367" s="758"/>
      <c r="T367" s="758"/>
      <c r="U367" s="758"/>
      <c r="V367" s="758"/>
      <c r="W367" s="758"/>
      <c r="X367" s="758"/>
      <c r="Y367" s="777"/>
      <c r="Z367" s="777"/>
      <c r="AA367" s="777"/>
      <c r="AB367" s="411"/>
      <c r="AC367" s="411"/>
      <c r="AD367" s="411"/>
      <c r="AE367" s="411"/>
      <c r="AF367" s="411"/>
      <c r="AG367" s="411"/>
      <c r="AH367" s="411"/>
      <c r="AI367" s="411"/>
      <c r="AJ367" s="411"/>
      <c r="AK367" s="411"/>
      <c r="AL367" s="411"/>
      <c r="AM367" s="306"/>
    </row>
    <row r="368" spans="1:39" ht="15" outlineLevel="1">
      <c r="A368" s="504">
        <v>29</v>
      </c>
      <c r="B368" s="323"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71"/>
      <c r="Z368" s="773"/>
      <c r="AA368" s="773"/>
      <c r="AB368" s="414"/>
      <c r="AC368" s="414"/>
      <c r="AD368" s="414"/>
      <c r="AE368" s="414"/>
      <c r="AF368" s="414"/>
      <c r="AG368" s="414"/>
      <c r="AH368" s="414"/>
      <c r="AI368" s="414"/>
      <c r="AJ368" s="414"/>
      <c r="AK368" s="414"/>
      <c r="AL368" s="414"/>
      <c r="AM368" s="296">
        <f>SUM(Y368:AL368)</f>
        <v>0</v>
      </c>
    </row>
    <row r="369" spans="1:39" ht="15" outlineLevel="1">
      <c r="B369" s="323"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76">
        <f>Y368</f>
        <v>0</v>
      </c>
      <c r="Z369" s="776">
        <f t="shared" ref="Z369:AA369" si="177">Z368</f>
        <v>0</v>
      </c>
      <c r="AA369" s="776">
        <f t="shared" si="177"/>
        <v>0</v>
      </c>
      <c r="AB369" s="410">
        <f t="shared" ref="AB369:AL369" si="178">AB368</f>
        <v>0</v>
      </c>
      <c r="AC369" s="410">
        <f t="shared" si="178"/>
        <v>0</v>
      </c>
      <c r="AD369" s="410">
        <f t="shared" si="178"/>
        <v>0</v>
      </c>
      <c r="AE369" s="410">
        <f t="shared" si="178"/>
        <v>0</v>
      </c>
      <c r="AF369" s="410">
        <f t="shared" si="178"/>
        <v>0</v>
      </c>
      <c r="AG369" s="410">
        <f t="shared" si="178"/>
        <v>0</v>
      </c>
      <c r="AH369" s="410">
        <f t="shared" si="178"/>
        <v>0</v>
      </c>
      <c r="AI369" s="410">
        <f t="shared" si="178"/>
        <v>0</v>
      </c>
      <c r="AJ369" s="410">
        <f t="shared" si="178"/>
        <v>0</v>
      </c>
      <c r="AK369" s="410">
        <f t="shared" si="178"/>
        <v>0</v>
      </c>
      <c r="AL369" s="410">
        <f t="shared" si="178"/>
        <v>0</v>
      </c>
      <c r="AM369" s="297"/>
    </row>
    <row r="370" spans="1:39" ht="15" outlineLevel="1">
      <c r="B370" s="323"/>
      <c r="C370" s="291"/>
      <c r="D370" s="758"/>
      <c r="E370" s="758"/>
      <c r="F370" s="758"/>
      <c r="G370" s="758"/>
      <c r="H370" s="758"/>
      <c r="I370" s="758"/>
      <c r="J370" s="758"/>
      <c r="K370" s="758"/>
      <c r="L370" s="758"/>
      <c r="M370" s="758"/>
      <c r="N370" s="758"/>
      <c r="O370" s="758"/>
      <c r="P370" s="758"/>
      <c r="Q370" s="758"/>
      <c r="R370" s="758"/>
      <c r="S370" s="758"/>
      <c r="T370" s="758"/>
      <c r="U370" s="758"/>
      <c r="V370" s="758"/>
      <c r="W370" s="758"/>
      <c r="X370" s="758"/>
      <c r="Y370" s="817"/>
      <c r="Z370" s="817"/>
      <c r="AA370" s="817"/>
      <c r="AB370" s="420"/>
      <c r="AC370" s="420"/>
      <c r="AD370" s="420"/>
      <c r="AE370" s="420"/>
      <c r="AF370" s="420"/>
      <c r="AG370" s="420"/>
      <c r="AH370" s="420"/>
      <c r="AI370" s="420"/>
      <c r="AJ370" s="420"/>
      <c r="AK370" s="420"/>
      <c r="AL370" s="420"/>
      <c r="AM370" s="313"/>
    </row>
    <row r="371" spans="1:39" s="283" customFormat="1" ht="15" outlineLevel="1">
      <c r="A371" s="504">
        <v>30</v>
      </c>
      <c r="B371" s="323"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72"/>
      <c r="Z371" s="772"/>
      <c r="AA371" s="772"/>
      <c r="AB371" s="409"/>
      <c r="AC371" s="409"/>
      <c r="AD371" s="409"/>
      <c r="AE371" s="409"/>
      <c r="AF371" s="409"/>
      <c r="AG371" s="409"/>
      <c r="AH371" s="409"/>
      <c r="AI371" s="409"/>
      <c r="AJ371" s="409"/>
      <c r="AK371" s="409"/>
      <c r="AL371" s="409"/>
      <c r="AM371" s="296">
        <f>SUM(Y371:AL371)</f>
        <v>0</v>
      </c>
    </row>
    <row r="372" spans="1:39" s="283" customFormat="1" ht="15" outlineLevel="1">
      <c r="A372" s="504"/>
      <c r="B372" s="323"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76">
        <f>Y371</f>
        <v>0</v>
      </c>
      <c r="Z372" s="776">
        <f t="shared" ref="Z372:AA372" si="179">Z371</f>
        <v>0</v>
      </c>
      <c r="AA372" s="776">
        <f t="shared" si="179"/>
        <v>0</v>
      </c>
      <c r="AB372" s="410">
        <f t="shared" ref="AB372:AL372" si="180">AB371</f>
        <v>0</v>
      </c>
      <c r="AC372" s="410">
        <f t="shared" si="180"/>
        <v>0</v>
      </c>
      <c r="AD372" s="410">
        <f t="shared" si="180"/>
        <v>0</v>
      </c>
      <c r="AE372" s="410">
        <f t="shared" si="180"/>
        <v>0</v>
      </c>
      <c r="AF372" s="410">
        <f t="shared" si="180"/>
        <v>0</v>
      </c>
      <c r="AG372" s="410">
        <f t="shared" si="180"/>
        <v>0</v>
      </c>
      <c r="AH372" s="410">
        <f t="shared" si="180"/>
        <v>0</v>
      </c>
      <c r="AI372" s="410">
        <f t="shared" si="180"/>
        <v>0</v>
      </c>
      <c r="AJ372" s="410">
        <f t="shared" si="180"/>
        <v>0</v>
      </c>
      <c r="AK372" s="410">
        <f t="shared" si="180"/>
        <v>0</v>
      </c>
      <c r="AL372" s="410">
        <f t="shared" si="180"/>
        <v>0</v>
      </c>
      <c r="AM372" s="297"/>
    </row>
    <row r="373" spans="1:39" s="283" customFormat="1" ht="15" outlineLevel="1">
      <c r="A373" s="504"/>
      <c r="B373" s="323"/>
      <c r="C373" s="291"/>
      <c r="D373" s="758"/>
      <c r="E373" s="758"/>
      <c r="F373" s="758"/>
      <c r="G373" s="758"/>
      <c r="H373" s="758"/>
      <c r="I373" s="758"/>
      <c r="J373" s="758"/>
      <c r="K373" s="758"/>
      <c r="L373" s="758"/>
      <c r="M373" s="758"/>
      <c r="N373" s="758"/>
      <c r="O373" s="758"/>
      <c r="P373" s="758"/>
      <c r="Q373" s="758"/>
      <c r="R373" s="758"/>
      <c r="S373" s="758"/>
      <c r="T373" s="758"/>
      <c r="U373" s="758"/>
      <c r="V373" s="758"/>
      <c r="W373" s="758"/>
      <c r="X373" s="758"/>
      <c r="Y373" s="777"/>
      <c r="Z373" s="777"/>
      <c r="AA373" s="777"/>
      <c r="AB373" s="411"/>
      <c r="AC373" s="411"/>
      <c r="AD373" s="411"/>
      <c r="AE373" s="411"/>
      <c r="AF373" s="411"/>
      <c r="AG373" s="411"/>
      <c r="AH373" s="411"/>
      <c r="AI373" s="411"/>
      <c r="AJ373" s="411"/>
      <c r="AK373" s="411"/>
      <c r="AL373" s="411"/>
      <c r="AM373" s="313"/>
    </row>
    <row r="374" spans="1:39" s="283" customFormat="1" ht="15.75" outlineLevel="1">
      <c r="A374" s="504"/>
      <c r="B374" s="288" t="s">
        <v>490</v>
      </c>
      <c r="C374" s="291"/>
      <c r="D374" s="758"/>
      <c r="E374" s="758"/>
      <c r="F374" s="758"/>
      <c r="G374" s="758"/>
      <c r="H374" s="758"/>
      <c r="I374" s="758"/>
      <c r="J374" s="758"/>
      <c r="K374" s="758"/>
      <c r="L374" s="758"/>
      <c r="M374" s="758"/>
      <c r="N374" s="758"/>
      <c r="O374" s="758"/>
      <c r="P374" s="758"/>
      <c r="Q374" s="758"/>
      <c r="R374" s="758"/>
      <c r="S374" s="758"/>
      <c r="T374" s="758"/>
      <c r="U374" s="758"/>
      <c r="V374" s="758"/>
      <c r="W374" s="758"/>
      <c r="X374" s="758"/>
      <c r="Y374" s="777"/>
      <c r="Z374" s="777"/>
      <c r="AA374" s="777"/>
      <c r="AB374" s="411"/>
      <c r="AC374" s="411"/>
      <c r="AD374" s="411"/>
      <c r="AE374" s="411"/>
      <c r="AF374" s="411"/>
      <c r="AG374" s="411"/>
      <c r="AH374" s="411"/>
      <c r="AI374" s="411"/>
      <c r="AJ374" s="411"/>
      <c r="AK374" s="411"/>
      <c r="AL374" s="411"/>
      <c r="AM374" s="313"/>
    </row>
    <row r="375" spans="1:39" s="283" customFormat="1" ht="15" outlineLevel="1">
      <c r="A375" s="504">
        <v>31</v>
      </c>
      <c r="B375" s="323" t="s">
        <v>491</v>
      </c>
      <c r="C375" s="291" t="s">
        <v>25</v>
      </c>
      <c r="D375" s="295">
        <f>+'7.  Persistence Report'!AS120</f>
        <v>911587</v>
      </c>
      <c r="E375" s="295">
        <f>+'7.  Persistence Report'!AT120</f>
        <v>911587</v>
      </c>
      <c r="F375" s="295">
        <f>+'7.  Persistence Report'!AU120</f>
        <v>16387</v>
      </c>
      <c r="G375" s="295">
        <f>+'7.  Persistence Report'!AV120</f>
        <v>16387</v>
      </c>
      <c r="H375" s="295">
        <f>+'7.  Persistence Report'!AW120</f>
        <v>16387</v>
      </c>
      <c r="I375" s="295">
        <f>+'7.  Persistence Report'!AX120</f>
        <v>16387</v>
      </c>
      <c r="J375" s="295">
        <f>+'7.  Persistence Report'!AY120</f>
        <v>16387</v>
      </c>
      <c r="K375" s="295">
        <f>+'7.  Persistence Report'!AZ120</f>
        <v>16387</v>
      </c>
      <c r="L375" s="295">
        <f>+'7.  Persistence Report'!BA120</f>
        <v>16387</v>
      </c>
      <c r="M375" s="295">
        <f>+'7.  Persistence Report'!BB120</f>
        <v>16387</v>
      </c>
      <c r="N375" s="295">
        <v>0</v>
      </c>
      <c r="O375" s="295">
        <f>+'7.  Persistence Report'!N120</f>
        <v>146.30000000000001</v>
      </c>
      <c r="P375" s="295">
        <f>+'7.  Persistence Report'!O120</f>
        <v>146.30000000000001</v>
      </c>
      <c r="Q375" s="295">
        <f>+'7.  Persistence Report'!P120</f>
        <v>34.4</v>
      </c>
      <c r="R375" s="295">
        <f>+'7.  Persistence Report'!Q120</f>
        <v>34.4</v>
      </c>
      <c r="S375" s="295">
        <f>+'7.  Persistence Report'!R120</f>
        <v>34.4</v>
      </c>
      <c r="T375" s="295">
        <f>+'7.  Persistence Report'!S120</f>
        <v>34.4</v>
      </c>
      <c r="U375" s="295">
        <f>+'7.  Persistence Report'!T120</f>
        <v>34.4</v>
      </c>
      <c r="V375" s="295">
        <f>+'7.  Persistence Report'!U120</f>
        <v>34.4</v>
      </c>
      <c r="W375" s="295">
        <f>+'7.  Persistence Report'!V120</f>
        <v>34.4</v>
      </c>
      <c r="X375" s="295">
        <f>+'7.  Persistence Report'!W120</f>
        <v>34.4</v>
      </c>
      <c r="Y375" s="772"/>
      <c r="Z375" s="498">
        <v>0</v>
      </c>
      <c r="AA375" s="773">
        <v>1</v>
      </c>
      <c r="AB375" s="409"/>
      <c r="AC375" s="409"/>
      <c r="AD375" s="409"/>
      <c r="AE375" s="409"/>
      <c r="AF375" s="409"/>
      <c r="AG375" s="409"/>
      <c r="AH375" s="409"/>
      <c r="AI375" s="409"/>
      <c r="AJ375" s="409"/>
      <c r="AK375" s="409"/>
      <c r="AL375" s="409"/>
      <c r="AM375" s="296">
        <f>SUM(Y375:AL375)</f>
        <v>1</v>
      </c>
    </row>
    <row r="376" spans="1:39" s="283" customFormat="1" ht="15" outlineLevel="1">
      <c r="A376" s="504"/>
      <c r="B376" s="323"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76">
        <f>Y375</f>
        <v>0</v>
      </c>
      <c r="Z376" s="776">
        <f t="shared" ref="Z376:AA376" si="181">Z375</f>
        <v>0</v>
      </c>
      <c r="AA376" s="776">
        <f t="shared" si="181"/>
        <v>1</v>
      </c>
      <c r="AB376" s="410">
        <f t="shared" ref="AB376:AL376" si="182">AB375</f>
        <v>0</v>
      </c>
      <c r="AC376" s="410">
        <f t="shared" si="182"/>
        <v>0</v>
      </c>
      <c r="AD376" s="410">
        <f t="shared" si="182"/>
        <v>0</v>
      </c>
      <c r="AE376" s="410">
        <f t="shared" si="182"/>
        <v>0</v>
      </c>
      <c r="AF376" s="410">
        <f t="shared" si="182"/>
        <v>0</v>
      </c>
      <c r="AG376" s="410">
        <f t="shared" si="182"/>
        <v>0</v>
      </c>
      <c r="AH376" s="410">
        <f t="shared" si="182"/>
        <v>0</v>
      </c>
      <c r="AI376" s="410">
        <f t="shared" si="182"/>
        <v>0</v>
      </c>
      <c r="AJ376" s="410">
        <f t="shared" si="182"/>
        <v>0</v>
      </c>
      <c r="AK376" s="410">
        <f t="shared" si="182"/>
        <v>0</v>
      </c>
      <c r="AL376" s="410">
        <f t="shared" si="182"/>
        <v>0</v>
      </c>
      <c r="AM376" s="297"/>
    </row>
    <row r="377" spans="1:39" s="283" customFormat="1" ht="15" outlineLevel="1">
      <c r="A377" s="504"/>
      <c r="B377" s="323"/>
      <c r="C377" s="291"/>
      <c r="D377" s="758"/>
      <c r="E377" s="758"/>
      <c r="F377" s="758"/>
      <c r="G377" s="758"/>
      <c r="H377" s="758"/>
      <c r="I377" s="758"/>
      <c r="J377" s="758"/>
      <c r="K377" s="758"/>
      <c r="L377" s="758"/>
      <c r="M377" s="758"/>
      <c r="N377" s="758"/>
      <c r="O377" s="758"/>
      <c r="P377" s="758"/>
      <c r="Q377" s="758"/>
      <c r="R377" s="758"/>
      <c r="S377" s="758"/>
      <c r="T377" s="758"/>
      <c r="U377" s="758"/>
      <c r="V377" s="758"/>
      <c r="W377" s="758"/>
      <c r="X377" s="758"/>
      <c r="Y377" s="777"/>
      <c r="Z377" s="777"/>
      <c r="AA377" s="777"/>
      <c r="AB377" s="411"/>
      <c r="AC377" s="411"/>
      <c r="AD377" s="411"/>
      <c r="AE377" s="411"/>
      <c r="AF377" s="411"/>
      <c r="AG377" s="411"/>
      <c r="AH377" s="411"/>
      <c r="AI377" s="411"/>
      <c r="AJ377" s="411"/>
      <c r="AK377" s="411"/>
      <c r="AL377" s="411"/>
      <c r="AM377" s="313"/>
    </row>
    <row r="378" spans="1:39" s="283" customFormat="1" ht="15" outlineLevel="1">
      <c r="A378" s="504">
        <v>32</v>
      </c>
      <c r="B378" s="323"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72"/>
      <c r="Z378" s="772"/>
      <c r="AA378" s="772"/>
      <c r="AB378" s="409"/>
      <c r="AC378" s="409"/>
      <c r="AD378" s="409"/>
      <c r="AE378" s="409"/>
      <c r="AF378" s="409"/>
      <c r="AG378" s="409"/>
      <c r="AH378" s="409"/>
      <c r="AI378" s="409"/>
      <c r="AJ378" s="409"/>
      <c r="AK378" s="409"/>
      <c r="AL378" s="409"/>
      <c r="AM378" s="296">
        <f>SUM(Y378:AL378)</f>
        <v>0</v>
      </c>
    </row>
    <row r="379" spans="1:39" s="283" customFormat="1" ht="15" outlineLevel="1">
      <c r="A379" s="504"/>
      <c r="B379" s="323"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76">
        <f>Y378</f>
        <v>0</v>
      </c>
      <c r="Z379" s="776">
        <f t="shared" ref="Z379:AA379" si="183">Z378</f>
        <v>0</v>
      </c>
      <c r="AA379" s="776">
        <f t="shared" si="183"/>
        <v>0</v>
      </c>
      <c r="AB379" s="410">
        <f t="shared" ref="AB379:AL379" si="184">AB378</f>
        <v>0</v>
      </c>
      <c r="AC379" s="410">
        <f t="shared" si="184"/>
        <v>0</v>
      </c>
      <c r="AD379" s="410">
        <f t="shared" si="184"/>
        <v>0</v>
      </c>
      <c r="AE379" s="410">
        <f t="shared" si="184"/>
        <v>0</v>
      </c>
      <c r="AF379" s="410">
        <f t="shared" si="184"/>
        <v>0</v>
      </c>
      <c r="AG379" s="410">
        <f t="shared" si="184"/>
        <v>0</v>
      </c>
      <c r="AH379" s="410">
        <f t="shared" si="184"/>
        <v>0</v>
      </c>
      <c r="AI379" s="410">
        <f t="shared" si="184"/>
        <v>0</v>
      </c>
      <c r="AJ379" s="410">
        <f t="shared" si="184"/>
        <v>0</v>
      </c>
      <c r="AK379" s="410">
        <f t="shared" si="184"/>
        <v>0</v>
      </c>
      <c r="AL379" s="410">
        <f t="shared" si="184"/>
        <v>0</v>
      </c>
      <c r="AM379" s="297"/>
    </row>
    <row r="380" spans="1:39" s="283" customFormat="1" ht="15" outlineLevel="1">
      <c r="A380" s="504"/>
      <c r="B380" s="323"/>
      <c r="C380" s="291"/>
      <c r="D380" s="758"/>
      <c r="E380" s="758"/>
      <c r="F380" s="758"/>
      <c r="G380" s="758"/>
      <c r="H380" s="758"/>
      <c r="I380" s="758"/>
      <c r="J380" s="758"/>
      <c r="K380" s="758"/>
      <c r="L380" s="758"/>
      <c r="M380" s="758"/>
      <c r="N380" s="758"/>
      <c r="O380" s="758"/>
      <c r="P380" s="758"/>
      <c r="Q380" s="758"/>
      <c r="R380" s="758"/>
      <c r="S380" s="758"/>
      <c r="T380" s="758"/>
      <c r="U380" s="758"/>
      <c r="V380" s="758"/>
      <c r="W380" s="758"/>
      <c r="X380" s="758"/>
      <c r="Y380" s="777"/>
      <c r="Z380" s="777"/>
      <c r="AA380" s="777"/>
      <c r="AB380" s="411"/>
      <c r="AC380" s="411"/>
      <c r="AD380" s="411"/>
      <c r="AE380" s="411"/>
      <c r="AF380" s="411"/>
      <c r="AG380" s="411"/>
      <c r="AH380" s="411"/>
      <c r="AI380" s="411"/>
      <c r="AJ380" s="411"/>
      <c r="AK380" s="411"/>
      <c r="AL380" s="411"/>
      <c r="AM380" s="313"/>
    </row>
    <row r="381" spans="1:39" s="283" customFormat="1" ht="15" outlineLevel="1">
      <c r="A381" s="504">
        <v>33</v>
      </c>
      <c r="B381" s="323"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772"/>
      <c r="Z381" s="772"/>
      <c r="AA381" s="772"/>
      <c r="AB381" s="409"/>
      <c r="AC381" s="409"/>
      <c r="AD381" s="409"/>
      <c r="AE381" s="409"/>
      <c r="AF381" s="409"/>
      <c r="AG381" s="409"/>
      <c r="AH381" s="409"/>
      <c r="AI381" s="409"/>
      <c r="AJ381" s="409"/>
      <c r="AK381" s="409"/>
      <c r="AL381" s="409"/>
      <c r="AM381" s="296">
        <f>SUM(Y381:AL381)</f>
        <v>0</v>
      </c>
    </row>
    <row r="382" spans="1:39" s="283" customFormat="1" ht="15" outlineLevel="1">
      <c r="A382" s="504"/>
      <c r="B382" s="323"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76">
        <f>Y381</f>
        <v>0</v>
      </c>
      <c r="Z382" s="776">
        <f t="shared" ref="Z382:AA382" si="185">Z381</f>
        <v>0</v>
      </c>
      <c r="AA382" s="776">
        <f t="shared" si="185"/>
        <v>0</v>
      </c>
      <c r="AB382" s="410">
        <f t="shared" ref="AB382:AK382" si="186">AB381</f>
        <v>0</v>
      </c>
      <c r="AC382" s="410">
        <f t="shared" si="186"/>
        <v>0</v>
      </c>
      <c r="AD382" s="410">
        <f t="shared" si="186"/>
        <v>0</v>
      </c>
      <c r="AE382" s="410">
        <f t="shared" si="186"/>
        <v>0</v>
      </c>
      <c r="AF382" s="410">
        <f t="shared" si="186"/>
        <v>0</v>
      </c>
      <c r="AG382" s="410">
        <f t="shared" si="186"/>
        <v>0</v>
      </c>
      <c r="AH382" s="410">
        <f t="shared" si="186"/>
        <v>0</v>
      </c>
      <c r="AI382" s="410">
        <f t="shared" si="186"/>
        <v>0</v>
      </c>
      <c r="AJ382" s="410">
        <f t="shared" si="186"/>
        <v>0</v>
      </c>
      <c r="AK382" s="410">
        <f t="shared" si="186"/>
        <v>0</v>
      </c>
      <c r="AL382" s="410">
        <f>AL381</f>
        <v>0</v>
      </c>
      <c r="AM382" s="297"/>
    </row>
    <row r="383" spans="1:39" ht="15"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1:39" ht="15.75">
      <c r="B384" s="326" t="s">
        <v>250</v>
      </c>
      <c r="C384" s="328"/>
      <c r="D384" s="328">
        <f>SUM(D279:D382)</f>
        <v>10156424.069158215</v>
      </c>
      <c r="E384" s="328"/>
      <c r="F384" s="328"/>
      <c r="G384" s="328"/>
      <c r="H384" s="328"/>
      <c r="I384" s="328"/>
      <c r="J384" s="328"/>
      <c r="K384" s="328"/>
      <c r="L384" s="328"/>
      <c r="M384" s="328"/>
      <c r="N384" s="328"/>
      <c r="O384" s="328">
        <f>SUM(O279:O382)</f>
        <v>9097.3211573794033</v>
      </c>
      <c r="P384" s="328"/>
      <c r="Q384" s="328"/>
      <c r="R384" s="328"/>
      <c r="S384" s="328"/>
      <c r="T384" s="328"/>
      <c r="U384" s="328"/>
      <c r="V384" s="328"/>
      <c r="W384" s="328"/>
      <c r="X384" s="328"/>
      <c r="Y384" s="328">
        <f>IF(Y278="kWh",SUMPRODUCT(D279:D382,Y279:Y382))</f>
        <v>1665877.8822126216</v>
      </c>
      <c r="Z384" s="328">
        <f>IF(Z278="kWh",SUMPRODUCT(D279:D382,Z279:Z382))</f>
        <v>1634858.1552921815</v>
      </c>
      <c r="AA384" s="328">
        <f>IF(AA278="kW",SUMPRODUCT(N279:N382,O279:O382,AA279:AA382),SUMPRODUCT(D279:D382,AA279:AA382))</f>
        <v>12851.922719473054</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1.6899999999999998E-2</v>
      </c>
      <c r="Z387" s="340">
        <f>HLOOKUP(Z$20,'3.  Distribution Rates'!$C$122:$P$133,5,FALSE)</f>
        <v>1.21E-2</v>
      </c>
      <c r="AA387" s="340">
        <f>HLOOKUP(AA$20,'3.  Distribution Rates'!$C$122:$P$133,5,FALSE)</f>
        <v>3.9849999999999999</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ref="Y388:AL388" si="187">Y136*Y387</f>
        <v>35177.907948986081</v>
      </c>
      <c r="Z388" s="377">
        <f t="shared" si="187"/>
        <v>25777.363830007933</v>
      </c>
      <c r="AA388" s="377">
        <f t="shared" si="187"/>
        <v>67341.595020728448</v>
      </c>
      <c r="AB388" s="377">
        <f t="shared" si="187"/>
        <v>0</v>
      </c>
      <c r="AC388" s="377">
        <f t="shared" si="187"/>
        <v>0</v>
      </c>
      <c r="AD388" s="377">
        <f t="shared" si="187"/>
        <v>0</v>
      </c>
      <c r="AE388" s="377">
        <f t="shared" si="187"/>
        <v>0</v>
      </c>
      <c r="AF388" s="377">
        <f t="shared" si="187"/>
        <v>0</v>
      </c>
      <c r="AG388" s="377">
        <f t="shared" si="187"/>
        <v>0</v>
      </c>
      <c r="AH388" s="377">
        <f t="shared" si="187"/>
        <v>0</v>
      </c>
      <c r="AI388" s="377">
        <f t="shared" si="187"/>
        <v>0</v>
      </c>
      <c r="AJ388" s="377">
        <f t="shared" si="187"/>
        <v>0</v>
      </c>
      <c r="AK388" s="377">
        <f t="shared" si="187"/>
        <v>0</v>
      </c>
      <c r="AL388" s="377">
        <f t="shared" si="187"/>
        <v>0</v>
      </c>
      <c r="AM388" s="624">
        <f>SUM(Y388:AL388)</f>
        <v>128296.86679972245</v>
      </c>
      <c r="AO388" s="283"/>
    </row>
    <row r="389" spans="1:41" ht="15">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88">Y265*Y387</f>
        <v>25221.583325145741</v>
      </c>
      <c r="Z389" s="377">
        <f t="shared" si="188"/>
        <v>17617.563640662287</v>
      </c>
      <c r="AA389" s="377">
        <f t="shared" si="188"/>
        <v>36712.310577062868</v>
      </c>
      <c r="AB389" s="377">
        <f t="shared" si="188"/>
        <v>0</v>
      </c>
      <c r="AC389" s="377">
        <f t="shared" si="188"/>
        <v>0</v>
      </c>
      <c r="AD389" s="377">
        <f t="shared" si="188"/>
        <v>0</v>
      </c>
      <c r="AE389" s="377">
        <f t="shared" si="188"/>
        <v>0</v>
      </c>
      <c r="AF389" s="377">
        <f t="shared" si="188"/>
        <v>0</v>
      </c>
      <c r="AG389" s="377">
        <f t="shared" si="188"/>
        <v>0</v>
      </c>
      <c r="AH389" s="377">
        <f t="shared" si="188"/>
        <v>0</v>
      </c>
      <c r="AI389" s="377">
        <f t="shared" si="188"/>
        <v>0</v>
      </c>
      <c r="AJ389" s="377">
        <f t="shared" si="188"/>
        <v>0</v>
      </c>
      <c r="AK389" s="377">
        <f t="shared" si="188"/>
        <v>0</v>
      </c>
      <c r="AL389" s="377">
        <f t="shared" si="188"/>
        <v>0</v>
      </c>
      <c r="AM389" s="624">
        <f>SUM(Y389:AL389)</f>
        <v>79551.457542870892</v>
      </c>
    </row>
    <row r="390" spans="1:41" ht="15">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28153.336209393303</v>
      </c>
      <c r="Z390" s="377">
        <f t="shared" ref="Z390:AE390" si="189">Z384*Z387</f>
        <v>19781.783679035398</v>
      </c>
      <c r="AA390" s="377">
        <f t="shared" si="189"/>
        <v>51214.912037100119</v>
      </c>
      <c r="AB390" s="377">
        <f t="shared" si="189"/>
        <v>0</v>
      </c>
      <c r="AC390" s="377">
        <f t="shared" si="189"/>
        <v>0</v>
      </c>
      <c r="AD390" s="377">
        <f t="shared" si="189"/>
        <v>0</v>
      </c>
      <c r="AE390" s="377">
        <f t="shared" si="189"/>
        <v>0</v>
      </c>
      <c r="AF390" s="377">
        <f t="shared" ref="AF390:AL390" si="190">AF384*AF387</f>
        <v>0</v>
      </c>
      <c r="AG390" s="377">
        <f t="shared" si="190"/>
        <v>0</v>
      </c>
      <c r="AH390" s="377">
        <f t="shared" si="190"/>
        <v>0</v>
      </c>
      <c r="AI390" s="377">
        <f t="shared" si="190"/>
        <v>0</v>
      </c>
      <c r="AJ390" s="377">
        <f t="shared" si="190"/>
        <v>0</v>
      </c>
      <c r="AK390" s="377">
        <f t="shared" si="190"/>
        <v>0</v>
      </c>
      <c r="AL390" s="377">
        <f t="shared" si="190"/>
        <v>0</v>
      </c>
      <c r="AM390" s="624">
        <f>SUM(Y390:AL390)</f>
        <v>99150.03192552882</v>
      </c>
    </row>
    <row r="391" spans="1:41" s="379" customFormat="1" ht="15.75">
      <c r="A391" s="506"/>
      <c r="B391" s="348" t="s">
        <v>257</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88552.827483525121</v>
      </c>
      <c r="Z391" s="345">
        <f>SUM(Z388:Z390)</f>
        <v>63176.711149705618</v>
      </c>
      <c r="AA391" s="345">
        <f t="shared" ref="AA391:AE391" si="191">SUM(AA388:AA390)</f>
        <v>155268.81763489143</v>
      </c>
      <c r="AB391" s="345">
        <f t="shared" si="191"/>
        <v>0</v>
      </c>
      <c r="AC391" s="345">
        <f t="shared" si="191"/>
        <v>0</v>
      </c>
      <c r="AD391" s="345">
        <f t="shared" si="191"/>
        <v>0</v>
      </c>
      <c r="AE391" s="345">
        <f t="shared" si="191"/>
        <v>0</v>
      </c>
      <c r="AF391" s="345">
        <f t="shared" ref="AF391:AL391" si="192">SUM(AF388:AF390)</f>
        <v>0</v>
      </c>
      <c r="AG391" s="345">
        <f t="shared" si="192"/>
        <v>0</v>
      </c>
      <c r="AH391" s="345">
        <f t="shared" si="192"/>
        <v>0</v>
      </c>
      <c r="AI391" s="345">
        <f t="shared" si="192"/>
        <v>0</v>
      </c>
      <c r="AJ391" s="345">
        <f t="shared" si="192"/>
        <v>0</v>
      </c>
      <c r="AK391" s="345">
        <f t="shared" si="192"/>
        <v>0</v>
      </c>
      <c r="AL391" s="345">
        <f t="shared" si="192"/>
        <v>0</v>
      </c>
      <c r="AM391" s="406">
        <f>SUM(AM388:AM390)</f>
        <v>306998.35626812215</v>
      </c>
    </row>
    <row r="392" spans="1:41" s="379" customFormat="1" ht="15.75">
      <c r="A392" s="506"/>
      <c r="B392" s="348" t="s">
        <v>252</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ref="Y392:AE392" si="193">Y385*Y387</f>
        <v>0</v>
      </c>
      <c r="Z392" s="346">
        <f t="shared" si="193"/>
        <v>0</v>
      </c>
      <c r="AA392" s="346">
        <f t="shared" si="193"/>
        <v>0</v>
      </c>
      <c r="AB392" s="346">
        <f t="shared" si="193"/>
        <v>0</v>
      </c>
      <c r="AC392" s="346">
        <f t="shared" si="193"/>
        <v>0</v>
      </c>
      <c r="AD392" s="346">
        <f t="shared" si="193"/>
        <v>0</v>
      </c>
      <c r="AE392" s="346">
        <f t="shared" si="193"/>
        <v>0</v>
      </c>
      <c r="AF392" s="346">
        <f t="shared" ref="AF392:AL392" si="194">AF385*AF387</f>
        <v>0</v>
      </c>
      <c r="AG392" s="346">
        <f t="shared" si="194"/>
        <v>0</v>
      </c>
      <c r="AH392" s="346">
        <f t="shared" si="194"/>
        <v>0</v>
      </c>
      <c r="AI392" s="346">
        <f t="shared" si="194"/>
        <v>0</v>
      </c>
      <c r="AJ392" s="346">
        <f t="shared" si="194"/>
        <v>0</v>
      </c>
      <c r="AK392" s="346">
        <f t="shared" si="194"/>
        <v>0</v>
      </c>
      <c r="AL392" s="346">
        <f t="shared" si="194"/>
        <v>0</v>
      </c>
      <c r="AM392" s="406">
        <f>SUM(Y392:AL392)</f>
        <v>0</v>
      </c>
    </row>
    <row r="393" spans="1:41" ht="15.75" customHeight="1">
      <c r="A393" s="506"/>
      <c r="B393" s="348" t="s">
        <v>264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306998.35626812215</v>
      </c>
    </row>
    <row r="394" spans="1:41" ht="1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1662898.5898978407</v>
      </c>
      <c r="Z395" s="291">
        <f>SUMPRODUCT(E279:E382,Z279:Z382)</f>
        <v>1620204.7427332089</v>
      </c>
      <c r="AA395" s="291">
        <f>IF(AA278="kW",SUMPRODUCT(N279:N382,P279:P382,AA279:AA382),SUMPRODUCT(E279:E382,AA279:AA382))</f>
        <v>12585.826131258455</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1:41" ht="15">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1640628.2403760543</v>
      </c>
      <c r="Z396" s="291">
        <f>SUMPRODUCT(F279:F382,Z279:Z382)</f>
        <v>1606497.208238753</v>
      </c>
      <c r="AA396" s="291">
        <f>IF(AA278="kW",SUMPRODUCT(N279:N382,Q279:Q382,AA279:AA382),SUMPRODUCT(F279:F382,AA279:AA382))</f>
        <v>12585.826131258455</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1:41" ht="15">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SUMPRODUCT(G279:G382,Y279:Y382)</f>
        <v>1515281.9160240276</v>
      </c>
      <c r="Z397" s="291">
        <f>SUMPRODUCT(G279:G382,Z279:Z382)</f>
        <v>1563396.9346787136</v>
      </c>
      <c r="AA397" s="291">
        <f>IF(AA278="kW",SUMPRODUCT(N279:N382,R279:R382,AA279:AA382),SUMPRODUCT(G279:G382,AA279:AA382))</f>
        <v>12507.571065298682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6"/>
    </row>
    <row r="398" spans="1:41" ht="15">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f>SUMPRODUCT(H279:H382,Y279:Y382)</f>
        <v>1425337.7345461766</v>
      </c>
      <c r="Z398" s="291">
        <f>SUMPRODUCT(H279:H382,Z279:Z382)</f>
        <v>1109374.8516871692</v>
      </c>
      <c r="AA398" s="291">
        <f>IF(AA278="kW",SUMPRODUCT(N279:N382,S279:S382,AA279:AA382),SUMPRODUCT(H279:H382,AA279:AA382))</f>
        <v>11914.057275626448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6"/>
    </row>
    <row r="399" spans="1:41" ht="15">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f>SUMPRODUCT(I279:I382,Y279:Y382)</f>
        <v>1358126.4086185368</v>
      </c>
      <c r="Z399" s="291">
        <f>SUMPRODUCT(I279:I382,Z279:Z382)</f>
        <v>1097689.5820512511</v>
      </c>
      <c r="AA399" s="291">
        <f>IF(AA278="kW",SUMPRODUCT(N279:N382,T279:T382,AA279:AA382),SUMPRODUCT(I279:I382,AA279:AA382))</f>
        <v>11741.320297135801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6"/>
    </row>
    <row r="400" spans="1:41" ht="15">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f>SUMPRODUCT(J279:J382,Y279:Y382)</f>
        <v>1344824.614100676</v>
      </c>
      <c r="Z400" s="291">
        <f>SUMPRODUCT(J279:J382,Z279:Z382)</f>
        <v>1097689.5820512511</v>
      </c>
      <c r="AA400" s="291">
        <f>IF(AA278="kW",SUMPRODUCT(N279:N382,U279:U382,AA279:AA382),SUMPRODUCT(J279:J382,AA279:AA382))</f>
        <v>11741.320297135801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1342989.4325724829</v>
      </c>
      <c r="Z401" s="325">
        <f>SUMPRODUCT(K279:K382,Z279:Z382)</f>
        <v>1096128.281245247</v>
      </c>
      <c r="AA401" s="325">
        <f>IF(AA278="kW",SUMPRODUCT(N279:N382,V279:V382,AA279:AA382),SUMPRODUCT(K279:K382,AA279:AA382))</f>
        <v>11738.426832271223</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80" t="s">
        <v>258</v>
      </c>
      <c r="C404" s="281"/>
      <c r="D404" s="585" t="s">
        <v>521</v>
      </c>
      <c r="F404" s="585"/>
      <c r="O404" s="281"/>
      <c r="Y404" s="270"/>
      <c r="Z404" s="267"/>
      <c r="AA404" s="267"/>
      <c r="AB404" s="267"/>
      <c r="AC404" s="267"/>
      <c r="AD404" s="267"/>
      <c r="AE404" s="267"/>
      <c r="AF404" s="267"/>
      <c r="AG404" s="267"/>
      <c r="AH404" s="267"/>
      <c r="AI404" s="267"/>
      <c r="AJ404" s="267"/>
      <c r="AK404" s="267"/>
      <c r="AL404" s="267"/>
      <c r="AM404" s="282"/>
    </row>
    <row r="405" spans="1:40" ht="36" customHeight="1">
      <c r="B405" s="1199" t="s">
        <v>211</v>
      </c>
      <c r="C405" s="1201" t="s">
        <v>33</v>
      </c>
      <c r="D405" s="284" t="s">
        <v>422</v>
      </c>
      <c r="E405" s="1203" t="s">
        <v>209</v>
      </c>
      <c r="F405" s="1204"/>
      <c r="G405" s="1204"/>
      <c r="H405" s="1204"/>
      <c r="I405" s="1204"/>
      <c r="J405" s="1204"/>
      <c r="K405" s="1204"/>
      <c r="L405" s="1204"/>
      <c r="M405" s="1205"/>
      <c r="N405" s="1206" t="s">
        <v>213</v>
      </c>
      <c r="O405" s="284" t="s">
        <v>423</v>
      </c>
      <c r="P405" s="1203" t="s">
        <v>212</v>
      </c>
      <c r="Q405" s="1204"/>
      <c r="R405" s="1204"/>
      <c r="S405" s="1204"/>
      <c r="T405" s="1204"/>
      <c r="U405" s="1204"/>
      <c r="V405" s="1204"/>
      <c r="W405" s="1204"/>
      <c r="X405" s="1205"/>
      <c r="Y405" s="1196" t="s">
        <v>243</v>
      </c>
      <c r="Z405" s="1197"/>
      <c r="AA405" s="1197"/>
      <c r="AB405" s="1197"/>
      <c r="AC405" s="1197"/>
      <c r="AD405" s="1197"/>
      <c r="AE405" s="1197"/>
      <c r="AF405" s="1197"/>
      <c r="AG405" s="1197"/>
      <c r="AH405" s="1197"/>
      <c r="AI405" s="1197"/>
      <c r="AJ405" s="1197"/>
      <c r="AK405" s="1197"/>
      <c r="AL405" s="1197"/>
      <c r="AM405" s="1198"/>
    </row>
    <row r="406" spans="1:40" ht="45.75" customHeight="1">
      <c r="B406" s="1200"/>
      <c r="C406" s="1202"/>
      <c r="D406" s="285">
        <v>2014</v>
      </c>
      <c r="E406" s="285">
        <v>2015</v>
      </c>
      <c r="F406" s="285">
        <v>2016</v>
      </c>
      <c r="G406" s="285">
        <v>2017</v>
      </c>
      <c r="H406" s="285">
        <v>2018</v>
      </c>
      <c r="I406" s="285">
        <v>2019</v>
      </c>
      <c r="J406" s="285">
        <v>2020</v>
      </c>
      <c r="K406" s="285">
        <v>2021</v>
      </c>
      <c r="L406" s="285">
        <v>2022</v>
      </c>
      <c r="M406" s="285">
        <v>2023</v>
      </c>
      <c r="N406" s="120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 50 kW</v>
      </c>
      <c r="AB406" s="285" t="str">
        <f>'1.  LRAMVA Summary'!G52</f>
        <v>Streetlighting kW</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5"/>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4">
        <v>1</v>
      </c>
      <c r="B408" s="294" t="s">
        <v>1</v>
      </c>
      <c r="C408" s="291" t="s">
        <v>25</v>
      </c>
      <c r="D408" s="295">
        <f>+'7.  Persistence Report'!AT139+'7.  Persistence Report'!AT140+'7.  Persistence Report'!AT141+'7.  Persistence Report'!AT142</f>
        <v>83901.843103437393</v>
      </c>
      <c r="E408" s="295">
        <f>+'7.  Persistence Report'!AU139+'7.  Persistence Report'!AU140+'7.  Persistence Report'!AU141+'7.  Persistence Report'!AU142</f>
        <v>83901.843103437393</v>
      </c>
      <c r="F408" s="295">
        <f>+'7.  Persistence Report'!AV139+'7.  Persistence Report'!AV140+'7.  Persistence Report'!AV141+'7.  Persistence Report'!AV142</f>
        <v>83901.843103437393</v>
      </c>
      <c r="G408" s="295">
        <f>+'7.  Persistence Report'!AW139+'7.  Persistence Report'!AW140+'7.  Persistence Report'!AW141+'7.  Persistence Report'!AW142</f>
        <v>83693.027010237391</v>
      </c>
      <c r="H408" s="295">
        <f>+'7.  Persistence Report'!AX139+'7.  Persistence Report'!AX140+'7.  Persistence Report'!AX141+'7.  Persistence Report'!AX142</f>
        <v>47418.390722093885</v>
      </c>
      <c r="I408" s="295">
        <f>+'7.  Persistence Report'!AY139+'7.  Persistence Report'!AY140+'7.  Persistence Report'!AY141+'7.  Persistence Report'!AY142</f>
        <v>0</v>
      </c>
      <c r="J408" s="295">
        <f>+'7.  Persistence Report'!AZ139+'7.  Persistence Report'!AZ140+'7.  Persistence Report'!AZ141+'7.  Persistence Report'!AZ142</f>
        <v>0</v>
      </c>
      <c r="K408" s="295">
        <f>+'7.  Persistence Report'!BA139+'7.  Persistence Report'!BA140+'7.  Persistence Report'!BA141+'7.  Persistence Report'!BA142</f>
        <v>0</v>
      </c>
      <c r="L408" s="295">
        <f>+'7.  Persistence Report'!BB139+'7.  Persistence Report'!BB140+'7.  Persistence Report'!BB141+'7.  Persistence Report'!BB142</f>
        <v>0</v>
      </c>
      <c r="M408" s="295">
        <f>+'7.  Persistence Report'!BC139+'7.  Persistence Report'!BC140+'7.  Persistence Report'!BC141+'7.  Persistence Report'!BC142</f>
        <v>0</v>
      </c>
      <c r="N408" s="758"/>
      <c r="O408" s="295">
        <f>+'7.  Persistence Report'!O139+'7.  Persistence Report'!O140+'7.  Persistence Report'!O141+'7.  Persistence Report'!O142</f>
        <v>12.612440650657527</v>
      </c>
      <c r="P408" s="295">
        <f>+'7.  Persistence Report'!P139+'7.  Persistence Report'!P140+'7.  Persistence Report'!P141+'7.  Persistence Report'!P142</f>
        <v>12.612440650657527</v>
      </c>
      <c r="Q408" s="295">
        <f>+'7.  Persistence Report'!Q139+'7.  Persistence Report'!Q140+'7.  Persistence Report'!Q141+'7.  Persistence Report'!Q142</f>
        <v>12.612440650657527</v>
      </c>
      <c r="R408" s="295">
        <f>+'7.  Persistence Report'!R139+'7.  Persistence Report'!R140+'7.  Persistence Report'!R141+'7.  Persistence Report'!R142</f>
        <v>12.378932055657527</v>
      </c>
      <c r="S408" s="295">
        <f>+'7.  Persistence Report'!S139+'7.  Persistence Report'!S140+'7.  Persistence Report'!S141+'7.  Persistence Report'!S142</f>
        <v>6.968803609936054</v>
      </c>
      <c r="T408" s="295">
        <f>+'7.  Persistence Report'!T139+'7.  Persistence Report'!T140+'7.  Persistence Report'!T141+'7.  Persistence Report'!T142</f>
        <v>0</v>
      </c>
      <c r="U408" s="295">
        <f>+'7.  Persistence Report'!U139+'7.  Persistence Report'!U140+'7.  Persistence Report'!U141+'7.  Persistence Report'!U142</f>
        <v>0</v>
      </c>
      <c r="V408" s="295">
        <f>+'7.  Persistence Report'!V139+'7.  Persistence Report'!V140+'7.  Persistence Report'!V141+'7.  Persistence Report'!V142</f>
        <v>0</v>
      </c>
      <c r="W408" s="295">
        <f>+'7.  Persistence Report'!W139+'7.  Persistence Report'!W140+'7.  Persistence Report'!W141+'7.  Persistence Report'!W142</f>
        <v>0</v>
      </c>
      <c r="X408" s="295">
        <f>+'7.  Persistence Report'!X139+'7.  Persistence Report'!X140+'7.  Persistence Report'!X141+'7.  Persistence Report'!X142</f>
        <v>0</v>
      </c>
      <c r="Y408" s="825">
        <v>1</v>
      </c>
      <c r="Z408" s="772"/>
      <c r="AA408" s="772"/>
      <c r="AB408" s="409"/>
      <c r="AC408" s="409"/>
      <c r="AD408" s="409"/>
      <c r="AE408" s="409"/>
      <c r="AF408" s="409"/>
      <c r="AG408" s="409"/>
      <c r="AH408" s="409"/>
      <c r="AI408" s="409"/>
      <c r="AJ408" s="409"/>
      <c r="AK408" s="409"/>
      <c r="AL408" s="409"/>
      <c r="AM408" s="296">
        <f>SUM(Y408:AL408)</f>
        <v>1</v>
      </c>
    </row>
    <row r="409" spans="1:40" ht="15" outlineLevel="1">
      <c r="B409" s="294" t="s">
        <v>259</v>
      </c>
      <c r="C409" s="291" t="s">
        <v>163</v>
      </c>
      <c r="D409" s="295"/>
      <c r="E409" s="295"/>
      <c r="F409" s="295"/>
      <c r="G409" s="295"/>
      <c r="H409" s="295"/>
      <c r="I409" s="295"/>
      <c r="J409" s="295"/>
      <c r="K409" s="295"/>
      <c r="L409" s="295"/>
      <c r="M409" s="295"/>
      <c r="N409" s="759"/>
      <c r="O409" s="295"/>
      <c r="P409" s="295"/>
      <c r="Q409" s="295"/>
      <c r="R409" s="295"/>
      <c r="S409" s="295"/>
      <c r="T409" s="295"/>
      <c r="U409" s="295"/>
      <c r="V409" s="295"/>
      <c r="W409" s="295"/>
      <c r="X409" s="295"/>
      <c r="Y409" s="776">
        <f>Y408</f>
        <v>1</v>
      </c>
      <c r="Z409" s="776">
        <f>Z408</f>
        <v>0</v>
      </c>
      <c r="AA409" s="776">
        <f t="shared" ref="AA409" si="195">AA408</f>
        <v>0</v>
      </c>
      <c r="AB409" s="410">
        <f t="shared" ref="AB409:AL409" si="196">AB408</f>
        <v>0</v>
      </c>
      <c r="AC409" s="410">
        <f t="shared" si="196"/>
        <v>0</v>
      </c>
      <c r="AD409" s="410">
        <f t="shared" si="196"/>
        <v>0</v>
      </c>
      <c r="AE409" s="410">
        <f t="shared" si="196"/>
        <v>0</v>
      </c>
      <c r="AF409" s="410">
        <f t="shared" si="196"/>
        <v>0</v>
      </c>
      <c r="AG409" s="410">
        <f t="shared" si="196"/>
        <v>0</v>
      </c>
      <c r="AH409" s="410">
        <f t="shared" si="196"/>
        <v>0</v>
      </c>
      <c r="AI409" s="410">
        <f t="shared" si="196"/>
        <v>0</v>
      </c>
      <c r="AJ409" s="410">
        <f t="shared" si="196"/>
        <v>0</v>
      </c>
      <c r="AK409" s="410">
        <f t="shared" si="196"/>
        <v>0</v>
      </c>
      <c r="AL409" s="410">
        <f t="shared" si="196"/>
        <v>0</v>
      </c>
      <c r="AM409" s="297"/>
    </row>
    <row r="410" spans="1:40" ht="15.75" outlineLevel="1">
      <c r="A410" s="506"/>
      <c r="B410" s="298"/>
      <c r="C410" s="299"/>
      <c r="D410" s="783"/>
      <c r="E410" s="783"/>
      <c r="F410" s="783"/>
      <c r="G410" s="783"/>
      <c r="H410" s="783"/>
      <c r="I410" s="783"/>
      <c r="J410" s="783"/>
      <c r="K410" s="783"/>
      <c r="L410" s="783"/>
      <c r="M410" s="783"/>
      <c r="N410" s="303"/>
      <c r="O410" s="783"/>
      <c r="P410" s="783"/>
      <c r="Q410" s="783"/>
      <c r="R410" s="783"/>
      <c r="S410" s="783"/>
      <c r="T410" s="783"/>
      <c r="U410" s="783"/>
      <c r="V410" s="783"/>
      <c r="W410" s="783"/>
      <c r="X410" s="783"/>
      <c r="Y410" s="777"/>
      <c r="Z410" s="820"/>
      <c r="AA410" s="820"/>
      <c r="AB410" s="412"/>
      <c r="AC410" s="412"/>
      <c r="AD410" s="412"/>
      <c r="AE410" s="412"/>
      <c r="AF410" s="412"/>
      <c r="AG410" s="412"/>
      <c r="AH410" s="412"/>
      <c r="AI410" s="412"/>
      <c r="AJ410" s="412"/>
      <c r="AK410" s="412"/>
      <c r="AL410" s="412"/>
      <c r="AM410" s="302"/>
    </row>
    <row r="411" spans="1:40" ht="15" outlineLevel="1">
      <c r="A411" s="504">
        <v>2</v>
      </c>
      <c r="B411" s="294" t="s">
        <v>2</v>
      </c>
      <c r="C411" s="291" t="s">
        <v>25</v>
      </c>
      <c r="D411" s="295">
        <f>+'7.  Persistence Report'!AT138</f>
        <v>61696.459620000001</v>
      </c>
      <c r="E411" s="295">
        <f>+'7.  Persistence Report'!AU138</f>
        <v>61696.459620000001</v>
      </c>
      <c r="F411" s="295">
        <f>+'7.  Persistence Report'!AV138</f>
        <v>61696.459620000001</v>
      </c>
      <c r="G411" s="295">
        <f>+'7.  Persistence Report'!AW138</f>
        <v>61696.459620000001</v>
      </c>
      <c r="H411" s="295">
        <f>+'7.  Persistence Report'!AX138</f>
        <v>0</v>
      </c>
      <c r="I411" s="295">
        <f>+'7.  Persistence Report'!AY138</f>
        <v>0</v>
      </c>
      <c r="J411" s="295">
        <f>+'7.  Persistence Report'!AZ138</f>
        <v>0</v>
      </c>
      <c r="K411" s="295">
        <f>+'7.  Persistence Report'!BA138</f>
        <v>0</v>
      </c>
      <c r="L411" s="295">
        <f>+'7.  Persistence Report'!BB138</f>
        <v>0</v>
      </c>
      <c r="M411" s="295">
        <f>+'7.  Persistence Report'!BC138</f>
        <v>0</v>
      </c>
      <c r="N411" s="758"/>
      <c r="O411" s="295">
        <f>+'7.  Persistence Report'!O138</f>
        <v>34.60141454</v>
      </c>
      <c r="P411" s="295">
        <f>+'7.  Persistence Report'!P138</f>
        <v>34.60141454</v>
      </c>
      <c r="Q411" s="295">
        <f>+'7.  Persistence Report'!Q138</f>
        <v>34.60141454</v>
      </c>
      <c r="R411" s="295">
        <f>+'7.  Persistence Report'!R138</f>
        <v>34.60141454</v>
      </c>
      <c r="S411" s="295">
        <f>+'7.  Persistence Report'!S138</f>
        <v>0</v>
      </c>
      <c r="T411" s="295">
        <f>+'7.  Persistence Report'!T138</f>
        <v>0</v>
      </c>
      <c r="U411" s="295">
        <f>+'7.  Persistence Report'!U138</f>
        <v>0</v>
      </c>
      <c r="V411" s="295">
        <f>+'7.  Persistence Report'!V138</f>
        <v>0</v>
      </c>
      <c r="W411" s="295">
        <f>+'7.  Persistence Report'!W138</f>
        <v>0</v>
      </c>
      <c r="X411" s="295">
        <f>+'7.  Persistence Report'!X138</f>
        <v>0</v>
      </c>
      <c r="Y411" s="825">
        <v>1</v>
      </c>
      <c r="Z411" s="772"/>
      <c r="AA411" s="772"/>
      <c r="AB411" s="409"/>
      <c r="AC411" s="409"/>
      <c r="AD411" s="409"/>
      <c r="AE411" s="409"/>
      <c r="AF411" s="409"/>
      <c r="AG411" s="409"/>
      <c r="AH411" s="409"/>
      <c r="AI411" s="409"/>
      <c r="AJ411" s="409"/>
      <c r="AK411" s="409"/>
      <c r="AL411" s="409"/>
      <c r="AM411" s="296">
        <f>SUM(Y411:AL411)</f>
        <v>1</v>
      </c>
    </row>
    <row r="412" spans="1:40" ht="15" outlineLevel="1">
      <c r="B412" s="294" t="s">
        <v>259</v>
      </c>
      <c r="C412" s="291" t="s">
        <v>163</v>
      </c>
      <c r="D412" s="295"/>
      <c r="E412" s="295"/>
      <c r="F412" s="295"/>
      <c r="G412" s="295"/>
      <c r="H412" s="295"/>
      <c r="I412" s="295"/>
      <c r="J412" s="295"/>
      <c r="K412" s="295"/>
      <c r="L412" s="295"/>
      <c r="M412" s="295"/>
      <c r="N412" s="759"/>
      <c r="O412" s="295"/>
      <c r="P412" s="295"/>
      <c r="Q412" s="295"/>
      <c r="R412" s="295"/>
      <c r="S412" s="295"/>
      <c r="T412" s="295"/>
      <c r="U412" s="295"/>
      <c r="V412" s="295"/>
      <c r="W412" s="295"/>
      <c r="X412" s="295"/>
      <c r="Y412" s="776">
        <f>Y411</f>
        <v>1</v>
      </c>
      <c r="Z412" s="776">
        <f>Z411</f>
        <v>0</v>
      </c>
      <c r="AA412" s="776">
        <f t="shared" ref="AA412" si="197">AA411</f>
        <v>0</v>
      </c>
      <c r="AB412" s="410">
        <f t="shared" ref="AB412:AL412" si="198">AB411</f>
        <v>0</v>
      </c>
      <c r="AC412" s="410">
        <f t="shared" si="198"/>
        <v>0</v>
      </c>
      <c r="AD412" s="410">
        <f t="shared" si="198"/>
        <v>0</v>
      </c>
      <c r="AE412" s="410">
        <f t="shared" si="198"/>
        <v>0</v>
      </c>
      <c r="AF412" s="410">
        <f t="shared" si="198"/>
        <v>0</v>
      </c>
      <c r="AG412" s="410">
        <f t="shared" si="198"/>
        <v>0</v>
      </c>
      <c r="AH412" s="410">
        <f t="shared" si="198"/>
        <v>0</v>
      </c>
      <c r="AI412" s="410">
        <f t="shared" si="198"/>
        <v>0</v>
      </c>
      <c r="AJ412" s="410">
        <f t="shared" si="198"/>
        <v>0</v>
      </c>
      <c r="AK412" s="410">
        <f t="shared" si="198"/>
        <v>0</v>
      </c>
      <c r="AL412" s="410">
        <f t="shared" si="198"/>
        <v>0</v>
      </c>
      <c r="AM412" s="297"/>
    </row>
    <row r="413" spans="1:40" ht="15.75" outlineLevel="1">
      <c r="A413" s="506"/>
      <c r="B413" s="298"/>
      <c r="C413" s="299"/>
      <c r="D413" s="760"/>
      <c r="E413" s="760"/>
      <c r="F413" s="760"/>
      <c r="G413" s="760"/>
      <c r="H413" s="760"/>
      <c r="I413" s="760"/>
      <c r="J413" s="760"/>
      <c r="K413" s="760"/>
      <c r="L413" s="760"/>
      <c r="M413" s="760"/>
      <c r="N413" s="303"/>
      <c r="O413" s="760"/>
      <c r="P413" s="760"/>
      <c r="Q413" s="760"/>
      <c r="R413" s="760"/>
      <c r="S413" s="760"/>
      <c r="T413" s="760"/>
      <c r="U413" s="760"/>
      <c r="V413" s="760"/>
      <c r="W413" s="760"/>
      <c r="X413" s="760"/>
      <c r="Y413" s="777"/>
      <c r="Z413" s="820"/>
      <c r="AA413" s="820"/>
      <c r="AB413" s="412"/>
      <c r="AC413" s="412"/>
      <c r="AD413" s="412"/>
      <c r="AE413" s="412"/>
      <c r="AF413" s="412"/>
      <c r="AG413" s="412"/>
      <c r="AH413" s="412"/>
      <c r="AI413" s="412"/>
      <c r="AJ413" s="412"/>
      <c r="AK413" s="412"/>
      <c r="AL413" s="412"/>
      <c r="AM413" s="302"/>
    </row>
    <row r="414" spans="1:40" ht="15" outlineLevel="1">
      <c r="A414" s="504">
        <v>3</v>
      </c>
      <c r="B414" s="294" t="s">
        <v>3</v>
      </c>
      <c r="C414" s="291" t="s">
        <v>25</v>
      </c>
      <c r="D414" s="295">
        <f>+'7.  Persistence Report'!AT146</f>
        <v>1013052.930347</v>
      </c>
      <c r="E414" s="295">
        <f>+'7.  Persistence Report'!AU146</f>
        <v>1013052.930347</v>
      </c>
      <c r="F414" s="295">
        <f>+'7.  Persistence Report'!AV146</f>
        <v>1013052.930347</v>
      </c>
      <c r="G414" s="295">
        <f>+'7.  Persistence Report'!AW146</f>
        <v>1013052.930347</v>
      </c>
      <c r="H414" s="295">
        <f>+'7.  Persistence Report'!AX146</f>
        <v>1013052.930347</v>
      </c>
      <c r="I414" s="295">
        <f>+'7.  Persistence Report'!AY146</f>
        <v>1013052.930347</v>
      </c>
      <c r="J414" s="295">
        <f>+'7.  Persistence Report'!AZ146</f>
        <v>1013052.930347</v>
      </c>
      <c r="K414" s="295">
        <f>+'7.  Persistence Report'!BA146</f>
        <v>1013052.930347</v>
      </c>
      <c r="L414" s="295">
        <f>+'7.  Persistence Report'!BB146</f>
        <v>1013052.930347</v>
      </c>
      <c r="M414" s="295">
        <f>+'7.  Persistence Report'!BC146</f>
        <v>1013052.930347</v>
      </c>
      <c r="N414" s="758"/>
      <c r="O414" s="295">
        <f>+'7.  Persistence Report'!O146</f>
        <v>547.51710652899999</v>
      </c>
      <c r="P414" s="295">
        <f>+'7.  Persistence Report'!P146</f>
        <v>547.51710652899999</v>
      </c>
      <c r="Q414" s="295">
        <f>+'7.  Persistence Report'!Q146</f>
        <v>547.51710652899999</v>
      </c>
      <c r="R414" s="295">
        <f>+'7.  Persistence Report'!R146</f>
        <v>547.51710652899999</v>
      </c>
      <c r="S414" s="295">
        <f>+'7.  Persistence Report'!S146</f>
        <v>547.51710652899999</v>
      </c>
      <c r="T414" s="295">
        <f>+'7.  Persistence Report'!T146</f>
        <v>547.51710652899999</v>
      </c>
      <c r="U414" s="295">
        <f>+'7.  Persistence Report'!U146</f>
        <v>547.51710652899999</v>
      </c>
      <c r="V414" s="295">
        <f>+'7.  Persistence Report'!V146</f>
        <v>547.51710652899999</v>
      </c>
      <c r="W414" s="295">
        <f>+'7.  Persistence Report'!W146</f>
        <v>547.51710652899999</v>
      </c>
      <c r="X414" s="295">
        <f>+'7.  Persistence Report'!X146</f>
        <v>547.51710652899999</v>
      </c>
      <c r="Y414" s="825">
        <v>1</v>
      </c>
      <c r="Z414" s="772"/>
      <c r="AA414" s="772"/>
      <c r="AB414" s="409"/>
      <c r="AC414" s="409"/>
      <c r="AD414" s="409"/>
      <c r="AE414" s="409"/>
      <c r="AF414" s="409"/>
      <c r="AG414" s="409"/>
      <c r="AH414" s="409"/>
      <c r="AI414" s="409"/>
      <c r="AJ414" s="409"/>
      <c r="AK414" s="409"/>
      <c r="AL414" s="409"/>
      <c r="AM414" s="296">
        <f>SUM(Y414:AL414)</f>
        <v>1</v>
      </c>
    </row>
    <row r="415" spans="1:40" ht="15" outlineLevel="1">
      <c r="B415" s="294" t="s">
        <v>259</v>
      </c>
      <c r="C415" s="291" t="s">
        <v>163</v>
      </c>
      <c r="D415" s="295"/>
      <c r="E415" s="295"/>
      <c r="F415" s="295"/>
      <c r="G415" s="295"/>
      <c r="H415" s="295"/>
      <c r="I415" s="295"/>
      <c r="J415" s="295"/>
      <c r="K415" s="295"/>
      <c r="L415" s="295"/>
      <c r="M415" s="295"/>
      <c r="N415" s="759"/>
      <c r="O415" s="295"/>
      <c r="P415" s="295"/>
      <c r="Q415" s="295"/>
      <c r="R415" s="295"/>
      <c r="S415" s="295"/>
      <c r="T415" s="295"/>
      <c r="U415" s="295"/>
      <c r="V415" s="295"/>
      <c r="W415" s="295"/>
      <c r="X415" s="295"/>
      <c r="Y415" s="776">
        <f>Y414</f>
        <v>1</v>
      </c>
      <c r="Z415" s="776">
        <f>Z414</f>
        <v>0</v>
      </c>
      <c r="AA415" s="776">
        <f t="shared" ref="AA415" si="199">AA414</f>
        <v>0</v>
      </c>
      <c r="AB415" s="410">
        <f t="shared" ref="AB415:AL415" si="200">AB414</f>
        <v>0</v>
      </c>
      <c r="AC415" s="410">
        <f t="shared" si="200"/>
        <v>0</v>
      </c>
      <c r="AD415" s="410">
        <f t="shared" si="200"/>
        <v>0</v>
      </c>
      <c r="AE415" s="410">
        <f t="shared" si="200"/>
        <v>0</v>
      </c>
      <c r="AF415" s="410">
        <f t="shared" si="200"/>
        <v>0</v>
      </c>
      <c r="AG415" s="410">
        <f t="shared" si="200"/>
        <v>0</v>
      </c>
      <c r="AH415" s="410">
        <f t="shared" si="200"/>
        <v>0</v>
      </c>
      <c r="AI415" s="410">
        <f t="shared" si="200"/>
        <v>0</v>
      </c>
      <c r="AJ415" s="410">
        <f t="shared" si="200"/>
        <v>0</v>
      </c>
      <c r="AK415" s="410">
        <f t="shared" si="200"/>
        <v>0</v>
      </c>
      <c r="AL415" s="410">
        <f t="shared" si="200"/>
        <v>0</v>
      </c>
      <c r="AM415" s="297"/>
    </row>
    <row r="416" spans="1:40" ht="15" outlineLevel="1">
      <c r="B416" s="294"/>
      <c r="C416" s="305"/>
      <c r="D416" s="758"/>
      <c r="E416" s="758"/>
      <c r="F416" s="758"/>
      <c r="G416" s="758"/>
      <c r="H416" s="758"/>
      <c r="I416" s="758"/>
      <c r="J416" s="758"/>
      <c r="K416" s="758"/>
      <c r="L416" s="758"/>
      <c r="M416" s="758"/>
      <c r="N416" s="283"/>
      <c r="O416" s="758"/>
      <c r="P416" s="758"/>
      <c r="Q416" s="758"/>
      <c r="R416" s="758"/>
      <c r="S416" s="758"/>
      <c r="T416" s="758"/>
      <c r="U416" s="758"/>
      <c r="V416" s="758"/>
      <c r="W416" s="758"/>
      <c r="X416" s="758"/>
      <c r="Y416" s="777"/>
      <c r="Z416" s="777"/>
      <c r="AA416" s="777"/>
      <c r="AB416" s="411"/>
      <c r="AC416" s="411"/>
      <c r="AD416" s="411"/>
      <c r="AE416" s="411"/>
      <c r="AF416" s="411"/>
      <c r="AG416" s="411"/>
      <c r="AH416" s="411"/>
      <c r="AI416" s="411"/>
      <c r="AJ416" s="411"/>
      <c r="AK416" s="411"/>
      <c r="AL416" s="411"/>
      <c r="AM416" s="306"/>
    </row>
    <row r="417" spans="1:39" ht="15" outlineLevel="1">
      <c r="A417" s="504">
        <v>4</v>
      </c>
      <c r="B417" s="294" t="s">
        <v>4</v>
      </c>
      <c r="C417" s="291" t="s">
        <v>25</v>
      </c>
      <c r="D417" s="295">
        <f>+'7.  Persistence Report'!AT144</f>
        <v>490141.37530000001</v>
      </c>
      <c r="E417" s="295">
        <f>+'7.  Persistence Report'!AU144</f>
        <v>458027.07750000001</v>
      </c>
      <c r="F417" s="295">
        <f>+'7.  Persistence Report'!AV144</f>
        <v>442310.03049999999</v>
      </c>
      <c r="G417" s="295">
        <f>+'7.  Persistence Report'!AW144</f>
        <v>442310.03049999999</v>
      </c>
      <c r="H417" s="295">
        <f>+'7.  Persistence Report'!AX144</f>
        <v>442310.03049999999</v>
      </c>
      <c r="I417" s="295">
        <f>+'7.  Persistence Report'!AY144</f>
        <v>442310.03049999999</v>
      </c>
      <c r="J417" s="295">
        <f>+'7.  Persistence Report'!AZ144</f>
        <v>442310.03049999999</v>
      </c>
      <c r="K417" s="295">
        <f>+'7.  Persistence Report'!BA144</f>
        <v>441508.38630000001</v>
      </c>
      <c r="L417" s="295">
        <f>+'7.  Persistence Report'!BB144</f>
        <v>441508.38630000001</v>
      </c>
      <c r="M417" s="295">
        <f>+'7.  Persistence Report'!BC144</f>
        <v>382082.7622</v>
      </c>
      <c r="N417" s="758"/>
      <c r="O417" s="295">
        <f>+'7.  Persistence Report'!O144</f>
        <v>36.294705229999998</v>
      </c>
      <c r="P417" s="295">
        <f>+'7.  Persistence Report'!P144</f>
        <v>34.278656349999999</v>
      </c>
      <c r="Q417" s="295">
        <f>+'7.  Persistence Report'!Q144</f>
        <v>33.291982590000003</v>
      </c>
      <c r="R417" s="295">
        <f>+'7.  Persistence Report'!R144</f>
        <v>33.291982590000003</v>
      </c>
      <c r="S417" s="295">
        <f>+'7.  Persistence Report'!S144</f>
        <v>33.291982590000003</v>
      </c>
      <c r="T417" s="295">
        <f>+'7.  Persistence Report'!T144</f>
        <v>33.291982590000003</v>
      </c>
      <c r="U417" s="295">
        <f>+'7.  Persistence Report'!U144</f>
        <v>33.291982590000003</v>
      </c>
      <c r="V417" s="295">
        <f>+'7.  Persistence Report'!V144</f>
        <v>33.200470699999997</v>
      </c>
      <c r="W417" s="295">
        <f>+'7.  Persistence Report'!W144</f>
        <v>33.200470699999997</v>
      </c>
      <c r="X417" s="295">
        <f>+'7.  Persistence Report'!X144</f>
        <v>29.469890530000001</v>
      </c>
      <c r="Y417" s="825">
        <v>1</v>
      </c>
      <c r="Z417" s="772"/>
      <c r="AA417" s="772"/>
      <c r="AB417" s="409"/>
      <c r="AC417" s="409"/>
      <c r="AD417" s="409"/>
      <c r="AE417" s="409"/>
      <c r="AF417" s="409"/>
      <c r="AG417" s="409"/>
      <c r="AH417" s="409"/>
      <c r="AI417" s="409"/>
      <c r="AJ417" s="409"/>
      <c r="AK417" s="409"/>
      <c r="AL417" s="409"/>
      <c r="AM417" s="296">
        <f>SUM(Y417:AL417)</f>
        <v>1</v>
      </c>
    </row>
    <row r="418" spans="1:39" ht="15" outlineLevel="1">
      <c r="B418" s="294" t="s">
        <v>259</v>
      </c>
      <c r="C418" s="291" t="s">
        <v>163</v>
      </c>
      <c r="D418" s="295"/>
      <c r="E418" s="295"/>
      <c r="F418" s="295"/>
      <c r="G418" s="295"/>
      <c r="H418" s="295"/>
      <c r="I418" s="295"/>
      <c r="J418" s="295"/>
      <c r="K418" s="295"/>
      <c r="L418" s="295"/>
      <c r="M418" s="295"/>
      <c r="N418" s="759"/>
      <c r="O418" s="295"/>
      <c r="P418" s="295"/>
      <c r="Q418" s="295"/>
      <c r="R418" s="295"/>
      <c r="S418" s="295"/>
      <c r="T418" s="295"/>
      <c r="U418" s="295"/>
      <c r="V418" s="295"/>
      <c r="W418" s="295"/>
      <c r="X418" s="295"/>
      <c r="Y418" s="776">
        <f>Y417</f>
        <v>1</v>
      </c>
      <c r="Z418" s="776">
        <f>Z417</f>
        <v>0</v>
      </c>
      <c r="AA418" s="776">
        <f t="shared" ref="AA418" si="201">AA417</f>
        <v>0</v>
      </c>
      <c r="AB418" s="410">
        <f t="shared" ref="AB418:AL418" si="202">AB417</f>
        <v>0</v>
      </c>
      <c r="AC418" s="410">
        <f t="shared" si="202"/>
        <v>0</v>
      </c>
      <c r="AD418" s="410">
        <f t="shared" si="202"/>
        <v>0</v>
      </c>
      <c r="AE418" s="410">
        <f t="shared" si="202"/>
        <v>0</v>
      </c>
      <c r="AF418" s="410">
        <f t="shared" si="202"/>
        <v>0</v>
      </c>
      <c r="AG418" s="410">
        <f t="shared" si="202"/>
        <v>0</v>
      </c>
      <c r="AH418" s="410">
        <f t="shared" si="202"/>
        <v>0</v>
      </c>
      <c r="AI418" s="410">
        <f t="shared" si="202"/>
        <v>0</v>
      </c>
      <c r="AJ418" s="410">
        <f t="shared" si="202"/>
        <v>0</v>
      </c>
      <c r="AK418" s="410">
        <f t="shared" si="202"/>
        <v>0</v>
      </c>
      <c r="AL418" s="410">
        <f t="shared" si="202"/>
        <v>0</v>
      </c>
      <c r="AM418" s="297"/>
    </row>
    <row r="419" spans="1:39" ht="15" outlineLevel="1">
      <c r="B419" s="294"/>
      <c r="C419" s="305"/>
      <c r="D419" s="760"/>
      <c r="E419" s="760"/>
      <c r="F419" s="760"/>
      <c r="G419" s="760"/>
      <c r="H419" s="760"/>
      <c r="I419" s="760"/>
      <c r="J419" s="760"/>
      <c r="K419" s="760"/>
      <c r="L419" s="760"/>
      <c r="M419" s="760"/>
      <c r="N419" s="758"/>
      <c r="O419" s="760"/>
      <c r="P419" s="760"/>
      <c r="Q419" s="760"/>
      <c r="R419" s="760"/>
      <c r="S419" s="760"/>
      <c r="T419" s="760"/>
      <c r="U419" s="760"/>
      <c r="V419" s="760"/>
      <c r="W419" s="760"/>
      <c r="X419" s="760"/>
      <c r="Y419" s="777"/>
      <c r="Z419" s="777"/>
      <c r="AA419" s="777"/>
      <c r="AB419" s="411"/>
      <c r="AC419" s="411"/>
      <c r="AD419" s="411"/>
      <c r="AE419" s="411"/>
      <c r="AF419" s="411"/>
      <c r="AG419" s="411"/>
      <c r="AH419" s="411"/>
      <c r="AI419" s="411"/>
      <c r="AJ419" s="411"/>
      <c r="AK419" s="411"/>
      <c r="AL419" s="411"/>
      <c r="AM419" s="306"/>
    </row>
    <row r="420" spans="1:39" ht="15" outlineLevel="1">
      <c r="A420" s="504">
        <v>5</v>
      </c>
      <c r="B420" s="294" t="s">
        <v>5</v>
      </c>
      <c r="C420" s="291" t="s">
        <v>25</v>
      </c>
      <c r="D420" s="295">
        <f>+'7.  Persistence Report'!AT143</f>
        <v>2004557.7609999999</v>
      </c>
      <c r="E420" s="295">
        <f>+'7.  Persistence Report'!AU143</f>
        <v>1738932.683</v>
      </c>
      <c r="F420" s="295">
        <f>+'7.  Persistence Report'!AV143</f>
        <v>1600503.6</v>
      </c>
      <c r="G420" s="295">
        <f>+'7.  Persistence Report'!AW143</f>
        <v>1600503.6</v>
      </c>
      <c r="H420" s="295">
        <f>+'7.  Persistence Report'!AX143</f>
        <v>1600503.6</v>
      </c>
      <c r="I420" s="295">
        <f>+'7.  Persistence Report'!AY143</f>
        <v>1600503.6</v>
      </c>
      <c r="J420" s="295">
        <f>+'7.  Persistence Report'!AZ143</f>
        <v>1600503.6</v>
      </c>
      <c r="K420" s="295">
        <f>+'7.  Persistence Report'!BA143</f>
        <v>1599810.2860000001</v>
      </c>
      <c r="L420" s="295">
        <f>+'7.  Persistence Report'!BB143</f>
        <v>1599810.2860000001</v>
      </c>
      <c r="M420" s="295">
        <f>+'7.  Persistence Report'!BC143</f>
        <v>1487912.446</v>
      </c>
      <c r="N420" s="758"/>
      <c r="O420" s="295">
        <f>+'7.  Persistence Report'!O143</f>
        <v>131.18887369999999</v>
      </c>
      <c r="P420" s="295">
        <f>+'7.  Persistence Report'!P143</f>
        <v>114.5136487</v>
      </c>
      <c r="Q420" s="295">
        <f>+'7.  Persistence Report'!Q143</f>
        <v>105.8234447</v>
      </c>
      <c r="R420" s="295">
        <f>+'7.  Persistence Report'!R143</f>
        <v>105.8234447</v>
      </c>
      <c r="S420" s="295">
        <f>+'7.  Persistence Report'!S143</f>
        <v>105.8234447</v>
      </c>
      <c r="T420" s="295">
        <f>+'7.  Persistence Report'!T143</f>
        <v>105.8234447</v>
      </c>
      <c r="U420" s="295">
        <f>+'7.  Persistence Report'!U143</f>
        <v>105.8234447</v>
      </c>
      <c r="V420" s="295">
        <f>+'7.  Persistence Report'!V143</f>
        <v>105.74429929999999</v>
      </c>
      <c r="W420" s="295">
        <f>+'7.  Persistence Report'!W143</f>
        <v>105.74429929999999</v>
      </c>
      <c r="X420" s="295">
        <f>+'7.  Persistence Report'!X143</f>
        <v>98.719655160000002</v>
      </c>
      <c r="Y420" s="825">
        <v>1</v>
      </c>
      <c r="Z420" s="772"/>
      <c r="AA420" s="772"/>
      <c r="AB420" s="409"/>
      <c r="AC420" s="409"/>
      <c r="AD420" s="409"/>
      <c r="AE420" s="409"/>
      <c r="AF420" s="409"/>
      <c r="AG420" s="409"/>
      <c r="AH420" s="409"/>
      <c r="AI420" s="409"/>
      <c r="AJ420" s="409"/>
      <c r="AK420" s="409"/>
      <c r="AL420" s="409"/>
      <c r="AM420" s="296">
        <f>SUM(Y420:AL420)</f>
        <v>1</v>
      </c>
    </row>
    <row r="421" spans="1:39" ht="15" outlineLevel="1">
      <c r="B421" s="294" t="s">
        <v>259</v>
      </c>
      <c r="C421" s="291" t="s">
        <v>163</v>
      </c>
      <c r="D421" s="295"/>
      <c r="E421" s="295"/>
      <c r="F421" s="295"/>
      <c r="G421" s="295"/>
      <c r="H421" s="295"/>
      <c r="I421" s="295"/>
      <c r="J421" s="295"/>
      <c r="K421" s="295"/>
      <c r="L421" s="295"/>
      <c r="M421" s="295"/>
      <c r="N421" s="759"/>
      <c r="O421" s="295"/>
      <c r="P421" s="295"/>
      <c r="Q421" s="295"/>
      <c r="R421" s="295"/>
      <c r="S421" s="295"/>
      <c r="T421" s="295"/>
      <c r="U421" s="295"/>
      <c r="V421" s="295"/>
      <c r="W421" s="295"/>
      <c r="X421" s="295"/>
      <c r="Y421" s="776">
        <f>Y420</f>
        <v>1</v>
      </c>
      <c r="Z421" s="776">
        <f>Z420</f>
        <v>0</v>
      </c>
      <c r="AA421" s="776">
        <f t="shared" ref="AA421" si="203">AA420</f>
        <v>0</v>
      </c>
      <c r="AB421" s="410">
        <f t="shared" ref="AB421:AL421" si="204">AB420</f>
        <v>0</v>
      </c>
      <c r="AC421" s="410">
        <f t="shared" si="204"/>
        <v>0</v>
      </c>
      <c r="AD421" s="410">
        <f t="shared" si="204"/>
        <v>0</v>
      </c>
      <c r="AE421" s="410">
        <f t="shared" si="204"/>
        <v>0</v>
      </c>
      <c r="AF421" s="410">
        <f t="shared" si="204"/>
        <v>0</v>
      </c>
      <c r="AG421" s="410">
        <f t="shared" si="204"/>
        <v>0</v>
      </c>
      <c r="AH421" s="410">
        <f t="shared" si="204"/>
        <v>0</v>
      </c>
      <c r="AI421" s="410">
        <f t="shared" si="204"/>
        <v>0</v>
      </c>
      <c r="AJ421" s="410">
        <f t="shared" si="204"/>
        <v>0</v>
      </c>
      <c r="AK421" s="410">
        <f t="shared" si="204"/>
        <v>0</v>
      </c>
      <c r="AL421" s="410">
        <f t="shared" si="204"/>
        <v>0</v>
      </c>
      <c r="AM421" s="297"/>
    </row>
    <row r="422" spans="1:39" ht="15" outlineLevel="1">
      <c r="B422" s="294"/>
      <c r="C422" s="305"/>
      <c r="D422" s="760"/>
      <c r="E422" s="760"/>
      <c r="F422" s="760"/>
      <c r="G422" s="760"/>
      <c r="H422" s="760"/>
      <c r="I422" s="760"/>
      <c r="J422" s="760"/>
      <c r="K422" s="760"/>
      <c r="L422" s="760"/>
      <c r="M422" s="760"/>
      <c r="N422" s="758"/>
      <c r="O422" s="760"/>
      <c r="P422" s="760"/>
      <c r="Q422" s="760"/>
      <c r="R422" s="760"/>
      <c r="S422" s="760"/>
      <c r="T422" s="760"/>
      <c r="U422" s="760"/>
      <c r="V422" s="760"/>
      <c r="W422" s="760"/>
      <c r="X422" s="760"/>
      <c r="Y422" s="777"/>
      <c r="Z422" s="777"/>
      <c r="AA422" s="777"/>
      <c r="AB422" s="411"/>
      <c r="AC422" s="411"/>
      <c r="AD422" s="411"/>
      <c r="AE422" s="411"/>
      <c r="AF422" s="411"/>
      <c r="AG422" s="411"/>
      <c r="AH422" s="411"/>
      <c r="AI422" s="411"/>
      <c r="AJ422" s="411"/>
      <c r="AK422" s="411"/>
      <c r="AL422" s="411"/>
      <c r="AM422" s="306"/>
    </row>
    <row r="423" spans="1:39" ht="15" outlineLevel="1">
      <c r="A423" s="504">
        <v>6</v>
      </c>
      <c r="B423" s="294" t="s">
        <v>6</v>
      </c>
      <c r="C423" s="291" t="s">
        <v>25</v>
      </c>
      <c r="D423" s="295"/>
      <c r="E423" s="295"/>
      <c r="F423" s="295"/>
      <c r="G423" s="295"/>
      <c r="H423" s="295"/>
      <c r="I423" s="295"/>
      <c r="J423" s="295"/>
      <c r="K423" s="295"/>
      <c r="L423" s="295"/>
      <c r="M423" s="295"/>
      <c r="N423" s="758"/>
      <c r="O423" s="295"/>
      <c r="P423" s="295"/>
      <c r="Q423" s="295"/>
      <c r="R423" s="295"/>
      <c r="S423" s="295"/>
      <c r="T423" s="295"/>
      <c r="U423" s="295"/>
      <c r="V423" s="295"/>
      <c r="W423" s="295"/>
      <c r="X423" s="295"/>
      <c r="Y423" s="772"/>
      <c r="Z423" s="772"/>
      <c r="AA423" s="772"/>
      <c r="AB423" s="409"/>
      <c r="AC423" s="409"/>
      <c r="AD423" s="409"/>
      <c r="AE423" s="409"/>
      <c r="AF423" s="409"/>
      <c r="AG423" s="409"/>
      <c r="AH423" s="409"/>
      <c r="AI423" s="409"/>
      <c r="AJ423" s="409"/>
      <c r="AK423" s="409"/>
      <c r="AL423" s="409"/>
      <c r="AM423" s="296">
        <f>SUM(Y423:AL423)</f>
        <v>0</v>
      </c>
    </row>
    <row r="424" spans="1:39" ht="15" outlineLevel="1">
      <c r="B424" s="294" t="s">
        <v>259</v>
      </c>
      <c r="C424" s="291" t="s">
        <v>163</v>
      </c>
      <c r="D424" s="295"/>
      <c r="E424" s="295"/>
      <c r="F424" s="295"/>
      <c r="G424" s="295"/>
      <c r="H424" s="295"/>
      <c r="I424" s="295"/>
      <c r="J424" s="295"/>
      <c r="K424" s="295"/>
      <c r="L424" s="295"/>
      <c r="M424" s="295"/>
      <c r="N424" s="759"/>
      <c r="O424" s="295"/>
      <c r="P424" s="295"/>
      <c r="Q424" s="295"/>
      <c r="R424" s="295"/>
      <c r="S424" s="295"/>
      <c r="T424" s="295"/>
      <c r="U424" s="295"/>
      <c r="V424" s="295"/>
      <c r="W424" s="295"/>
      <c r="X424" s="295"/>
      <c r="Y424" s="776">
        <f>Y423</f>
        <v>0</v>
      </c>
      <c r="Z424" s="776">
        <f>Z423</f>
        <v>0</v>
      </c>
      <c r="AA424" s="776">
        <f t="shared" ref="AA424" si="205">AA423</f>
        <v>0</v>
      </c>
      <c r="AB424" s="410">
        <f t="shared" ref="AB424:AL424" si="206">AB423</f>
        <v>0</v>
      </c>
      <c r="AC424" s="410">
        <f t="shared" si="206"/>
        <v>0</v>
      </c>
      <c r="AD424" s="410">
        <f t="shared" si="206"/>
        <v>0</v>
      </c>
      <c r="AE424" s="410">
        <f t="shared" si="206"/>
        <v>0</v>
      </c>
      <c r="AF424" s="410">
        <f t="shared" si="206"/>
        <v>0</v>
      </c>
      <c r="AG424" s="410">
        <f t="shared" si="206"/>
        <v>0</v>
      </c>
      <c r="AH424" s="410">
        <f t="shared" si="206"/>
        <v>0</v>
      </c>
      <c r="AI424" s="410">
        <f t="shared" si="206"/>
        <v>0</v>
      </c>
      <c r="AJ424" s="410">
        <f t="shared" si="206"/>
        <v>0</v>
      </c>
      <c r="AK424" s="410">
        <f t="shared" si="206"/>
        <v>0</v>
      </c>
      <c r="AL424" s="410">
        <f t="shared" si="206"/>
        <v>0</v>
      </c>
      <c r="AM424" s="297"/>
    </row>
    <row r="425" spans="1:39" ht="15" outlineLevel="1">
      <c r="B425" s="294"/>
      <c r="C425" s="305"/>
      <c r="D425" s="760"/>
      <c r="E425" s="760"/>
      <c r="F425" s="760"/>
      <c r="G425" s="760"/>
      <c r="H425" s="760"/>
      <c r="I425" s="760"/>
      <c r="J425" s="760"/>
      <c r="K425" s="760"/>
      <c r="L425" s="760"/>
      <c r="M425" s="760"/>
      <c r="N425" s="758"/>
      <c r="O425" s="760"/>
      <c r="P425" s="760"/>
      <c r="Q425" s="760"/>
      <c r="R425" s="760"/>
      <c r="S425" s="760"/>
      <c r="T425" s="760"/>
      <c r="U425" s="760"/>
      <c r="V425" s="760"/>
      <c r="W425" s="760"/>
      <c r="X425" s="760"/>
      <c r="Y425" s="777"/>
      <c r="Z425" s="777"/>
      <c r="AA425" s="777"/>
      <c r="AB425" s="411"/>
      <c r="AC425" s="411"/>
      <c r="AD425" s="411"/>
      <c r="AE425" s="411"/>
      <c r="AF425" s="411"/>
      <c r="AG425" s="411"/>
      <c r="AH425" s="411"/>
      <c r="AI425" s="411"/>
      <c r="AJ425" s="411"/>
      <c r="AK425" s="411"/>
      <c r="AL425" s="411"/>
      <c r="AM425" s="306"/>
    </row>
    <row r="426" spans="1:39" ht="15" outlineLevel="1">
      <c r="A426" s="504">
        <v>7</v>
      </c>
      <c r="B426" s="294" t="s">
        <v>42</v>
      </c>
      <c r="C426" s="291" t="s">
        <v>25</v>
      </c>
      <c r="D426" s="295">
        <f>+'7.  Persistence Report'!AT154</f>
        <v>0</v>
      </c>
      <c r="E426" s="295">
        <f>+'7.  Persistence Report'!AU154</f>
        <v>0</v>
      </c>
      <c r="F426" s="295">
        <f>+'7.  Persistence Report'!AV154</f>
        <v>0</v>
      </c>
      <c r="G426" s="295">
        <f>+'7.  Persistence Report'!AW154</f>
        <v>0</v>
      </c>
      <c r="H426" s="295">
        <f>+'7.  Persistence Report'!AX154</f>
        <v>0</v>
      </c>
      <c r="I426" s="295">
        <f>+'7.  Persistence Report'!AY154</f>
        <v>0</v>
      </c>
      <c r="J426" s="295">
        <f>+'7.  Persistence Report'!AZ154</f>
        <v>0</v>
      </c>
      <c r="K426" s="295">
        <f>+'7.  Persistence Report'!BA154</f>
        <v>0</v>
      </c>
      <c r="L426" s="295">
        <f>+'7.  Persistence Report'!BB154</f>
        <v>0</v>
      </c>
      <c r="M426" s="295">
        <f>+'7.  Persistence Report'!BC154</f>
        <v>0</v>
      </c>
      <c r="N426" s="758"/>
      <c r="O426" s="295">
        <f>+'7.  Persistence Report'!O154</f>
        <v>273.4289</v>
      </c>
      <c r="P426" s="295">
        <f>+'7.  Persistence Report'!P154</f>
        <v>0</v>
      </c>
      <c r="Q426" s="295">
        <f>+'7.  Persistence Report'!Q154</f>
        <v>0</v>
      </c>
      <c r="R426" s="295">
        <f>+'7.  Persistence Report'!R154</f>
        <v>0</v>
      </c>
      <c r="S426" s="295">
        <f>+'7.  Persistence Report'!S154</f>
        <v>0</v>
      </c>
      <c r="T426" s="295">
        <f>+'7.  Persistence Report'!T154</f>
        <v>0</v>
      </c>
      <c r="U426" s="295">
        <f>+'7.  Persistence Report'!U154</f>
        <v>0</v>
      </c>
      <c r="V426" s="295">
        <f>+'7.  Persistence Report'!V154</f>
        <v>0</v>
      </c>
      <c r="W426" s="295">
        <f>+'7.  Persistence Report'!W154</f>
        <v>0</v>
      </c>
      <c r="X426" s="295">
        <f>+'7.  Persistence Report'!X154</f>
        <v>0</v>
      </c>
      <c r="Y426" s="772">
        <v>1</v>
      </c>
      <c r="Z426" s="772"/>
      <c r="AA426" s="772"/>
      <c r="AB426" s="409"/>
      <c r="AC426" s="409"/>
      <c r="AD426" s="409"/>
      <c r="AE426" s="409"/>
      <c r="AF426" s="409"/>
      <c r="AG426" s="409"/>
      <c r="AH426" s="409"/>
      <c r="AI426" s="409"/>
      <c r="AJ426" s="409"/>
      <c r="AK426" s="409"/>
      <c r="AL426" s="409"/>
      <c r="AM426" s="296">
        <f>SUM(Y426:AL426)</f>
        <v>1</v>
      </c>
    </row>
    <row r="427" spans="1:39" ht="15" outlineLevel="1">
      <c r="B427" s="294" t="s">
        <v>259</v>
      </c>
      <c r="C427" s="291" t="s">
        <v>163</v>
      </c>
      <c r="D427" s="295"/>
      <c r="E427" s="295"/>
      <c r="F427" s="295"/>
      <c r="G427" s="295"/>
      <c r="H427" s="295"/>
      <c r="I427" s="295"/>
      <c r="J427" s="295"/>
      <c r="K427" s="295"/>
      <c r="L427" s="295"/>
      <c r="M427" s="295"/>
      <c r="N427" s="758"/>
      <c r="O427" s="295"/>
      <c r="P427" s="295"/>
      <c r="Q427" s="295"/>
      <c r="R427" s="295"/>
      <c r="S427" s="295"/>
      <c r="T427" s="295"/>
      <c r="U427" s="295"/>
      <c r="V427" s="295"/>
      <c r="W427" s="295"/>
      <c r="X427" s="295"/>
      <c r="Y427" s="776">
        <f>Y426</f>
        <v>1</v>
      </c>
      <c r="Z427" s="776">
        <f>Z426</f>
        <v>0</v>
      </c>
      <c r="AA427" s="776">
        <f t="shared" ref="AA427" si="207">AA426</f>
        <v>0</v>
      </c>
      <c r="AB427" s="410">
        <f t="shared" ref="AB427:AL427" si="208">AB426</f>
        <v>0</v>
      </c>
      <c r="AC427" s="410">
        <f t="shared" si="208"/>
        <v>0</v>
      </c>
      <c r="AD427" s="410">
        <f t="shared" si="208"/>
        <v>0</v>
      </c>
      <c r="AE427" s="410">
        <f t="shared" si="208"/>
        <v>0</v>
      </c>
      <c r="AF427" s="410">
        <f t="shared" si="208"/>
        <v>0</v>
      </c>
      <c r="AG427" s="410">
        <f t="shared" si="208"/>
        <v>0</v>
      </c>
      <c r="AH427" s="410">
        <f t="shared" si="208"/>
        <v>0</v>
      </c>
      <c r="AI427" s="410">
        <f t="shared" si="208"/>
        <v>0</v>
      </c>
      <c r="AJ427" s="410">
        <f t="shared" si="208"/>
        <v>0</v>
      </c>
      <c r="AK427" s="410">
        <f t="shared" si="208"/>
        <v>0</v>
      </c>
      <c r="AL427" s="410">
        <f t="shared" si="208"/>
        <v>0</v>
      </c>
      <c r="AM427" s="297"/>
    </row>
    <row r="428" spans="1:39" ht="15" outlineLevel="1">
      <c r="B428" s="294"/>
      <c r="C428" s="305"/>
      <c r="D428" s="760"/>
      <c r="E428" s="760"/>
      <c r="F428" s="760"/>
      <c r="G428" s="760"/>
      <c r="H428" s="760"/>
      <c r="I428" s="760"/>
      <c r="J428" s="760"/>
      <c r="K428" s="760"/>
      <c r="L428" s="760"/>
      <c r="M428" s="760"/>
      <c r="N428" s="758"/>
      <c r="O428" s="760"/>
      <c r="P428" s="760"/>
      <c r="Q428" s="760"/>
      <c r="R428" s="760"/>
      <c r="S428" s="760"/>
      <c r="T428" s="760"/>
      <c r="U428" s="760"/>
      <c r="V428" s="760"/>
      <c r="W428" s="760"/>
      <c r="X428" s="760"/>
      <c r="Y428" s="777"/>
      <c r="Z428" s="777"/>
      <c r="AA428" s="777"/>
      <c r="AB428" s="411"/>
      <c r="AC428" s="411"/>
      <c r="AD428" s="411"/>
      <c r="AE428" s="411"/>
      <c r="AF428" s="411"/>
      <c r="AG428" s="411"/>
      <c r="AH428" s="411"/>
      <c r="AI428" s="411"/>
      <c r="AJ428" s="411"/>
      <c r="AK428" s="411"/>
      <c r="AL428" s="411"/>
      <c r="AM428" s="306"/>
    </row>
    <row r="429" spans="1:39" s="283" customFormat="1" ht="15" outlineLevel="1">
      <c r="A429" s="504">
        <v>8</v>
      </c>
      <c r="B429" s="294" t="s">
        <v>485</v>
      </c>
      <c r="C429" s="291" t="s">
        <v>25</v>
      </c>
      <c r="D429" s="295"/>
      <c r="E429" s="295"/>
      <c r="F429" s="295"/>
      <c r="G429" s="295"/>
      <c r="H429" s="295"/>
      <c r="I429" s="295"/>
      <c r="J429" s="295"/>
      <c r="K429" s="295"/>
      <c r="L429" s="295"/>
      <c r="M429" s="295"/>
      <c r="N429" s="758"/>
      <c r="O429" s="295"/>
      <c r="P429" s="295"/>
      <c r="Q429" s="295"/>
      <c r="R429" s="295"/>
      <c r="S429" s="295"/>
      <c r="T429" s="295"/>
      <c r="U429" s="295"/>
      <c r="V429" s="295"/>
      <c r="W429" s="295"/>
      <c r="X429" s="295"/>
      <c r="Y429" s="772"/>
      <c r="Z429" s="772"/>
      <c r="AA429" s="772"/>
      <c r="AB429" s="409"/>
      <c r="AC429" s="409"/>
      <c r="AD429" s="409"/>
      <c r="AE429" s="409"/>
      <c r="AF429" s="409"/>
      <c r="AG429" s="409"/>
      <c r="AH429" s="409"/>
      <c r="AI429" s="409"/>
      <c r="AJ429" s="409"/>
      <c r="AK429" s="409"/>
      <c r="AL429" s="409"/>
      <c r="AM429" s="296">
        <f>SUM(Y429:AL429)</f>
        <v>0</v>
      </c>
    </row>
    <row r="430" spans="1:39" s="283" customFormat="1" ht="15" outlineLevel="1">
      <c r="A430" s="504"/>
      <c r="B430" s="294" t="s">
        <v>259</v>
      </c>
      <c r="C430" s="291" t="s">
        <v>163</v>
      </c>
      <c r="D430" s="295"/>
      <c r="E430" s="295"/>
      <c r="F430" s="295"/>
      <c r="G430" s="295"/>
      <c r="H430" s="295"/>
      <c r="I430" s="295"/>
      <c r="J430" s="295"/>
      <c r="K430" s="295"/>
      <c r="L430" s="295"/>
      <c r="M430" s="295"/>
      <c r="N430" s="758"/>
      <c r="O430" s="295"/>
      <c r="P430" s="295"/>
      <c r="Q430" s="295"/>
      <c r="R430" s="295"/>
      <c r="S430" s="295"/>
      <c r="T430" s="295"/>
      <c r="U430" s="295"/>
      <c r="V430" s="295"/>
      <c r="W430" s="295"/>
      <c r="X430" s="295"/>
      <c r="Y430" s="776">
        <f>Y429</f>
        <v>0</v>
      </c>
      <c r="Z430" s="776">
        <f>Z429</f>
        <v>0</v>
      </c>
      <c r="AA430" s="776">
        <f t="shared" ref="AA430" si="209">AA429</f>
        <v>0</v>
      </c>
      <c r="AB430" s="410">
        <f t="shared" ref="AB430:AL430" si="210">AB429</f>
        <v>0</v>
      </c>
      <c r="AC430" s="410">
        <f t="shared" si="210"/>
        <v>0</v>
      </c>
      <c r="AD430" s="410">
        <f t="shared" si="210"/>
        <v>0</v>
      </c>
      <c r="AE430" s="410">
        <f t="shared" si="210"/>
        <v>0</v>
      </c>
      <c r="AF430" s="410">
        <f t="shared" si="210"/>
        <v>0</v>
      </c>
      <c r="AG430" s="410">
        <f t="shared" si="210"/>
        <v>0</v>
      </c>
      <c r="AH430" s="410">
        <f t="shared" si="210"/>
        <v>0</v>
      </c>
      <c r="AI430" s="410">
        <f t="shared" si="210"/>
        <v>0</v>
      </c>
      <c r="AJ430" s="410">
        <f t="shared" si="210"/>
        <v>0</v>
      </c>
      <c r="AK430" s="410">
        <f t="shared" si="210"/>
        <v>0</v>
      </c>
      <c r="AL430" s="410">
        <f t="shared" si="210"/>
        <v>0</v>
      </c>
      <c r="AM430" s="297"/>
    </row>
    <row r="431" spans="1:39" s="283" customFormat="1" ht="15" outlineLevel="1">
      <c r="A431" s="504"/>
      <c r="B431" s="294"/>
      <c r="C431" s="305"/>
      <c r="D431" s="760"/>
      <c r="E431" s="760"/>
      <c r="F431" s="760"/>
      <c r="G431" s="760"/>
      <c r="H431" s="760"/>
      <c r="I431" s="760"/>
      <c r="J431" s="760"/>
      <c r="K431" s="760"/>
      <c r="L431" s="760"/>
      <c r="M431" s="760"/>
      <c r="N431" s="758"/>
      <c r="O431" s="760"/>
      <c r="P431" s="760"/>
      <c r="Q431" s="760"/>
      <c r="R431" s="760"/>
      <c r="S431" s="760"/>
      <c r="T431" s="760"/>
      <c r="U431" s="760"/>
      <c r="V431" s="760"/>
      <c r="W431" s="760"/>
      <c r="X431" s="760"/>
      <c r="Y431" s="777"/>
      <c r="Z431" s="777"/>
      <c r="AA431" s="777"/>
      <c r="AB431" s="411"/>
      <c r="AC431" s="411"/>
      <c r="AD431" s="411"/>
      <c r="AE431" s="411"/>
      <c r="AF431" s="411"/>
      <c r="AG431" s="411"/>
      <c r="AH431" s="411"/>
      <c r="AI431" s="411"/>
      <c r="AJ431" s="411"/>
      <c r="AK431" s="411"/>
      <c r="AL431" s="411"/>
      <c r="AM431" s="306"/>
    </row>
    <row r="432" spans="1:39" ht="15" outlineLevel="1">
      <c r="A432" s="504">
        <v>9</v>
      </c>
      <c r="B432" s="294" t="s">
        <v>7</v>
      </c>
      <c r="C432" s="291" t="s">
        <v>25</v>
      </c>
      <c r="D432" s="295">
        <f>+'7.  Persistence Report'!AT147</f>
        <v>106463.2675</v>
      </c>
      <c r="E432" s="295">
        <f>+'7.  Persistence Report'!AU147</f>
        <v>106463.2675</v>
      </c>
      <c r="F432" s="295">
        <f>+'7.  Persistence Report'!AV147</f>
        <v>106463.2675</v>
      </c>
      <c r="G432" s="295">
        <f>+'7.  Persistence Report'!AW147</f>
        <v>106463.2675</v>
      </c>
      <c r="H432" s="295">
        <f>+'7.  Persistence Report'!AX147</f>
        <v>106463.2675</v>
      </c>
      <c r="I432" s="295">
        <f>+'7.  Persistence Report'!AY147</f>
        <v>106463.2675</v>
      </c>
      <c r="J432" s="295">
        <f>+'7.  Persistence Report'!AZ147</f>
        <v>106463.2675</v>
      </c>
      <c r="K432" s="295">
        <f>+'7.  Persistence Report'!BA147</f>
        <v>106463.2675</v>
      </c>
      <c r="L432" s="295">
        <f>+'7.  Persistence Report'!BB147</f>
        <v>106463.2675</v>
      </c>
      <c r="M432" s="295">
        <f>+'7.  Persistence Report'!BC147</f>
        <v>106463.2675</v>
      </c>
      <c r="N432" s="758"/>
      <c r="O432" s="295">
        <f>+'7.  Persistence Report'!O147</f>
        <v>15.924055190000001</v>
      </c>
      <c r="P432" s="295">
        <f>+'7.  Persistence Report'!P147</f>
        <v>15.924055190000001</v>
      </c>
      <c r="Q432" s="295">
        <f>+'7.  Persistence Report'!Q147</f>
        <v>15.924055190000001</v>
      </c>
      <c r="R432" s="295">
        <f>+'7.  Persistence Report'!R147</f>
        <v>15.924055190000001</v>
      </c>
      <c r="S432" s="295">
        <f>+'7.  Persistence Report'!S147</f>
        <v>15.924055190000001</v>
      </c>
      <c r="T432" s="295">
        <f>+'7.  Persistence Report'!T147</f>
        <v>15.924055190000001</v>
      </c>
      <c r="U432" s="295">
        <f>+'7.  Persistence Report'!U147</f>
        <v>15.924055190000001</v>
      </c>
      <c r="V432" s="295">
        <f>+'7.  Persistence Report'!V147</f>
        <v>15.924055190000001</v>
      </c>
      <c r="W432" s="295">
        <f>+'7.  Persistence Report'!W147</f>
        <v>15.924055190000001</v>
      </c>
      <c r="X432" s="295">
        <f>+'7.  Persistence Report'!X147</f>
        <v>15.924055190000001</v>
      </c>
      <c r="Y432" s="772">
        <v>1</v>
      </c>
      <c r="Z432" s="772"/>
      <c r="AA432" s="772"/>
      <c r="AB432" s="409"/>
      <c r="AC432" s="409"/>
      <c r="AD432" s="409"/>
      <c r="AE432" s="409"/>
      <c r="AF432" s="409"/>
      <c r="AG432" s="409"/>
      <c r="AH432" s="409"/>
      <c r="AI432" s="409"/>
      <c r="AJ432" s="409"/>
      <c r="AK432" s="409"/>
      <c r="AL432" s="409"/>
      <c r="AM432" s="296">
        <f>SUM(Y432:AL432)</f>
        <v>1</v>
      </c>
    </row>
    <row r="433" spans="1:39" ht="15" outlineLevel="1">
      <c r="B433" s="294" t="s">
        <v>259</v>
      </c>
      <c r="C433" s="291" t="s">
        <v>163</v>
      </c>
      <c r="D433" s="295"/>
      <c r="E433" s="295"/>
      <c r="F433" s="295"/>
      <c r="G433" s="295"/>
      <c r="H433" s="295"/>
      <c r="I433" s="295"/>
      <c r="J433" s="295"/>
      <c r="K433" s="295"/>
      <c r="L433" s="295"/>
      <c r="M433" s="295"/>
      <c r="N433" s="758"/>
      <c r="O433" s="295"/>
      <c r="P433" s="295"/>
      <c r="Q433" s="295"/>
      <c r="R433" s="295"/>
      <c r="S433" s="295"/>
      <c r="T433" s="295"/>
      <c r="U433" s="295"/>
      <c r="V433" s="295"/>
      <c r="W433" s="295"/>
      <c r="X433" s="295"/>
      <c r="Y433" s="776">
        <f>Y432</f>
        <v>1</v>
      </c>
      <c r="Z433" s="776">
        <f>Z432</f>
        <v>0</v>
      </c>
      <c r="AA433" s="776">
        <f t="shared" ref="AA433" si="211">AA432</f>
        <v>0</v>
      </c>
      <c r="AB433" s="410">
        <f t="shared" ref="AB433:AL433" si="212">AB432</f>
        <v>0</v>
      </c>
      <c r="AC433" s="410">
        <f t="shared" si="212"/>
        <v>0</v>
      </c>
      <c r="AD433" s="410">
        <f t="shared" si="212"/>
        <v>0</v>
      </c>
      <c r="AE433" s="410">
        <f t="shared" si="212"/>
        <v>0</v>
      </c>
      <c r="AF433" s="410">
        <f t="shared" si="212"/>
        <v>0</v>
      </c>
      <c r="AG433" s="410">
        <f t="shared" si="212"/>
        <v>0</v>
      </c>
      <c r="AH433" s="410">
        <f t="shared" si="212"/>
        <v>0</v>
      </c>
      <c r="AI433" s="410">
        <f t="shared" si="212"/>
        <v>0</v>
      </c>
      <c r="AJ433" s="410">
        <f t="shared" si="212"/>
        <v>0</v>
      </c>
      <c r="AK433" s="410">
        <f t="shared" si="212"/>
        <v>0</v>
      </c>
      <c r="AL433" s="410">
        <f t="shared" si="212"/>
        <v>0</v>
      </c>
      <c r="AM433" s="297"/>
    </row>
    <row r="434" spans="1:39" ht="15" outlineLevel="1">
      <c r="B434" s="307"/>
      <c r="C434" s="308"/>
      <c r="D434" s="758"/>
      <c r="E434" s="758"/>
      <c r="F434" s="758"/>
      <c r="G434" s="758"/>
      <c r="H434" s="758"/>
      <c r="I434" s="758"/>
      <c r="J434" s="758"/>
      <c r="K434" s="758"/>
      <c r="L434" s="758"/>
      <c r="M434" s="758"/>
      <c r="N434" s="758"/>
      <c r="O434" s="758"/>
      <c r="P434" s="758"/>
      <c r="Q434" s="758"/>
      <c r="R434" s="758"/>
      <c r="S434" s="758"/>
      <c r="T434" s="758"/>
      <c r="U434" s="758"/>
      <c r="V434" s="758"/>
      <c r="W434" s="758"/>
      <c r="X434" s="758"/>
      <c r="Y434" s="777"/>
      <c r="Z434" s="777"/>
      <c r="AA434" s="777"/>
      <c r="AB434" s="411"/>
      <c r="AC434" s="411"/>
      <c r="AD434" s="411"/>
      <c r="AE434" s="411"/>
      <c r="AF434" s="411"/>
      <c r="AG434" s="411"/>
      <c r="AH434" s="411"/>
      <c r="AI434" s="411"/>
      <c r="AJ434" s="411"/>
      <c r="AK434" s="411"/>
      <c r="AL434" s="411"/>
      <c r="AM434" s="306"/>
    </row>
    <row r="435" spans="1:39" ht="15.75" outlineLevel="1">
      <c r="A435" s="505"/>
      <c r="B435" s="288" t="s">
        <v>8</v>
      </c>
      <c r="C435" s="289"/>
      <c r="D435" s="762"/>
      <c r="E435" s="762"/>
      <c r="F435" s="762"/>
      <c r="G435" s="762"/>
      <c r="H435" s="762"/>
      <c r="I435" s="762"/>
      <c r="J435" s="762"/>
      <c r="K435" s="762"/>
      <c r="L435" s="762"/>
      <c r="M435" s="762"/>
      <c r="N435" s="758"/>
      <c r="O435" s="762"/>
      <c r="P435" s="762"/>
      <c r="Q435" s="762"/>
      <c r="R435" s="762"/>
      <c r="S435" s="762"/>
      <c r="T435" s="762"/>
      <c r="U435" s="762"/>
      <c r="V435" s="762"/>
      <c r="W435" s="762"/>
      <c r="X435" s="762"/>
      <c r="Y435" s="811"/>
      <c r="Z435" s="811"/>
      <c r="AA435" s="811"/>
      <c r="AB435" s="413"/>
      <c r="AC435" s="413"/>
      <c r="AD435" s="413"/>
      <c r="AE435" s="413"/>
      <c r="AF435" s="413"/>
      <c r="AG435" s="413"/>
      <c r="AH435" s="413"/>
      <c r="AI435" s="413"/>
      <c r="AJ435" s="413"/>
      <c r="AK435" s="413"/>
      <c r="AL435" s="413"/>
      <c r="AM435" s="292"/>
    </row>
    <row r="436" spans="1:39" ht="15" outlineLevel="1">
      <c r="A436" s="504">
        <v>10</v>
      </c>
      <c r="B436" s="310" t="s">
        <v>22</v>
      </c>
      <c r="C436" s="291" t="s">
        <v>25</v>
      </c>
      <c r="D436" s="295">
        <f>+'7.  Persistence Report'!AT137</f>
        <v>4440673.5389999999</v>
      </c>
      <c r="E436" s="295">
        <f>+'7.  Persistence Report'!AU137</f>
        <v>4431659.2879999997</v>
      </c>
      <c r="F436" s="295">
        <f>+'7.  Persistence Report'!AV137</f>
        <v>4431659.2879999997</v>
      </c>
      <c r="G436" s="295">
        <f>+'7.  Persistence Report'!AW137</f>
        <v>4395310.7740000002</v>
      </c>
      <c r="H436" s="295">
        <f>+'7.  Persistence Report'!AX137</f>
        <v>4395310.7740000002</v>
      </c>
      <c r="I436" s="295">
        <f>+'7.  Persistence Report'!AY137</f>
        <v>4395310.7740000002</v>
      </c>
      <c r="J436" s="295">
        <f>+'7.  Persistence Report'!AZ137</f>
        <v>4180741.0189999999</v>
      </c>
      <c r="K436" s="295">
        <f>+'7.  Persistence Report'!BA137</f>
        <v>4180741.0189999999</v>
      </c>
      <c r="L436" s="295">
        <f>+'7.  Persistence Report'!BB137</f>
        <v>4047746.9879999999</v>
      </c>
      <c r="M436" s="295">
        <f>+'7.  Persistence Report'!BC137</f>
        <v>3121142.125</v>
      </c>
      <c r="N436" s="295">
        <v>12</v>
      </c>
      <c r="O436" s="295">
        <f>+'7.  Persistence Report'!O137</f>
        <v>822.71648159999995</v>
      </c>
      <c r="P436" s="295">
        <f>+'7.  Persistence Report'!P137</f>
        <v>820.12877370000001</v>
      </c>
      <c r="Q436" s="295">
        <f>+'7.  Persistence Report'!Q137</f>
        <v>820.12877370000001</v>
      </c>
      <c r="R436" s="295">
        <f>+'7.  Persistence Report'!R137</f>
        <v>809.69808890000002</v>
      </c>
      <c r="S436" s="295">
        <f>+'7.  Persistence Report'!S137</f>
        <v>809.69808890000002</v>
      </c>
      <c r="T436" s="295">
        <f>+'7.  Persistence Report'!T137</f>
        <v>809.69808890000002</v>
      </c>
      <c r="U436" s="295">
        <f>+'7.  Persistence Report'!U137</f>
        <v>778.33217090000005</v>
      </c>
      <c r="V436" s="295">
        <f>+'7.  Persistence Report'!V137</f>
        <v>778.33217090000005</v>
      </c>
      <c r="W436" s="295">
        <f>+'7.  Persistence Report'!W137</f>
        <v>757.98060969999995</v>
      </c>
      <c r="X436" s="295">
        <f>+'7.  Persistence Report'!X137</f>
        <v>625.09934859999998</v>
      </c>
      <c r="Y436" s="773"/>
      <c r="Z436" s="822">
        <v>0.14199999999999999</v>
      </c>
      <c r="AA436" s="822">
        <v>0.85799999999999998</v>
      </c>
      <c r="AB436" s="465"/>
      <c r="AC436" s="414"/>
      <c r="AD436" s="414"/>
      <c r="AE436" s="414"/>
      <c r="AF436" s="414"/>
      <c r="AG436" s="414"/>
      <c r="AH436" s="414"/>
      <c r="AI436" s="414"/>
      <c r="AJ436" s="414"/>
      <c r="AK436" s="414"/>
      <c r="AL436" s="414"/>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76">
        <f>Y436</f>
        <v>0</v>
      </c>
      <c r="Z437" s="776">
        <f>Z436</f>
        <v>0.14199999999999999</v>
      </c>
      <c r="AA437" s="776">
        <f t="shared" ref="AA437" si="213">AA436</f>
        <v>0.85799999999999998</v>
      </c>
      <c r="AB437" s="410">
        <f t="shared" ref="AB437:AL437" si="214">AB436</f>
        <v>0</v>
      </c>
      <c r="AC437" s="410">
        <f t="shared" si="214"/>
        <v>0</v>
      </c>
      <c r="AD437" s="410">
        <f t="shared" si="214"/>
        <v>0</v>
      </c>
      <c r="AE437" s="410">
        <f t="shared" si="214"/>
        <v>0</v>
      </c>
      <c r="AF437" s="410">
        <f t="shared" si="214"/>
        <v>0</v>
      </c>
      <c r="AG437" s="410">
        <f t="shared" si="214"/>
        <v>0</v>
      </c>
      <c r="AH437" s="410">
        <f t="shared" si="214"/>
        <v>0</v>
      </c>
      <c r="AI437" s="410">
        <f t="shared" si="214"/>
        <v>0</v>
      </c>
      <c r="AJ437" s="410">
        <f t="shared" si="214"/>
        <v>0</v>
      </c>
      <c r="AK437" s="410">
        <f t="shared" si="214"/>
        <v>0</v>
      </c>
      <c r="AL437" s="410">
        <f t="shared" si="214"/>
        <v>0</v>
      </c>
      <c r="AM437" s="311"/>
    </row>
    <row r="438" spans="1:39" ht="15" outlineLevel="1">
      <c r="B438" s="310"/>
      <c r="C438" s="312"/>
      <c r="D438" s="758"/>
      <c r="E438" s="758"/>
      <c r="F438" s="758"/>
      <c r="G438" s="758"/>
      <c r="H438" s="758"/>
      <c r="I438" s="758"/>
      <c r="J438" s="758"/>
      <c r="K438" s="758"/>
      <c r="L438" s="758"/>
      <c r="M438" s="758"/>
      <c r="N438" s="758"/>
      <c r="O438" s="758"/>
      <c r="P438" s="758"/>
      <c r="Q438" s="758"/>
      <c r="R438" s="758"/>
      <c r="S438" s="758"/>
      <c r="T438" s="758"/>
      <c r="U438" s="758"/>
      <c r="V438" s="758"/>
      <c r="W438" s="758"/>
      <c r="X438" s="758"/>
      <c r="Y438" s="812"/>
      <c r="Z438" s="812"/>
      <c r="AA438" s="812"/>
      <c r="AB438" s="415"/>
      <c r="AC438" s="415"/>
      <c r="AD438" s="415"/>
      <c r="AE438" s="415"/>
      <c r="AF438" s="415"/>
      <c r="AG438" s="415"/>
      <c r="AH438" s="415"/>
      <c r="AI438" s="415"/>
      <c r="AJ438" s="415"/>
      <c r="AK438" s="415"/>
      <c r="AL438" s="415"/>
      <c r="AM438" s="313"/>
    </row>
    <row r="439" spans="1:39" ht="15" outlineLevel="1">
      <c r="A439" s="504">
        <v>11</v>
      </c>
      <c r="B439" s="314" t="s">
        <v>21</v>
      </c>
      <c r="C439" s="291" t="s">
        <v>25</v>
      </c>
      <c r="D439" s="295">
        <f>+'7.  Persistence Report'!AT134</f>
        <v>384743.78269999998</v>
      </c>
      <c r="E439" s="295">
        <f>+'7.  Persistence Report'!AU134</f>
        <v>368910.72269999998</v>
      </c>
      <c r="F439" s="295">
        <f>+'7.  Persistence Report'!AV134</f>
        <v>344504.96460000001</v>
      </c>
      <c r="G439" s="295">
        <f>+'7.  Persistence Report'!AW134</f>
        <v>220408.20110000001</v>
      </c>
      <c r="H439" s="295">
        <f>+'7.  Persistence Report'!AX134</f>
        <v>220408.20110000001</v>
      </c>
      <c r="I439" s="295">
        <f>+'7.  Persistence Report'!AY134</f>
        <v>220408.20110000001</v>
      </c>
      <c r="J439" s="295">
        <f>+'7.  Persistence Report'!AZ134</f>
        <v>220408.20110000001</v>
      </c>
      <c r="K439" s="295">
        <f>+'7.  Persistence Report'!BA134</f>
        <v>220408.20110000001</v>
      </c>
      <c r="L439" s="295">
        <f>+'7.  Persistence Report'!BB134</f>
        <v>220408.20110000001</v>
      </c>
      <c r="M439" s="295">
        <f>+'7.  Persistence Report'!BC134</f>
        <v>220408.20110000001</v>
      </c>
      <c r="N439" s="295">
        <v>12</v>
      </c>
      <c r="O439" s="295">
        <f>+'7.  Persistence Report'!O134</f>
        <v>107.90901839999999</v>
      </c>
      <c r="P439" s="295">
        <f>+'7.  Persistence Report'!P134</f>
        <v>103.43850879999999</v>
      </c>
      <c r="Q439" s="295">
        <f>+'7.  Persistence Report'!Q134</f>
        <v>97.155578399999996</v>
      </c>
      <c r="R439" s="295">
        <f>+'7.  Persistence Report'!R134</f>
        <v>59.809784639999997</v>
      </c>
      <c r="S439" s="295">
        <f>+'7.  Persistence Report'!S134</f>
        <v>59.809784639999997</v>
      </c>
      <c r="T439" s="295">
        <f>+'7.  Persistence Report'!T134</f>
        <v>59.809784639999997</v>
      </c>
      <c r="U439" s="295">
        <f>+'7.  Persistence Report'!U134</f>
        <v>59.809784639999997</v>
      </c>
      <c r="V439" s="295">
        <f>+'7.  Persistence Report'!V134</f>
        <v>59.809784639999997</v>
      </c>
      <c r="W439" s="295">
        <f>+'7.  Persistence Report'!W134</f>
        <v>59.809784639999997</v>
      </c>
      <c r="X439" s="295">
        <f>+'7.  Persistence Report'!X134</f>
        <v>59.809784639999997</v>
      </c>
      <c r="Y439" s="773"/>
      <c r="Z439" s="826">
        <v>1</v>
      </c>
      <c r="AA439" s="826">
        <v>0</v>
      </c>
      <c r="AB439" s="414"/>
      <c r="AC439" s="414"/>
      <c r="AD439" s="414"/>
      <c r="AE439" s="414"/>
      <c r="AF439" s="414"/>
      <c r="AG439" s="414"/>
      <c r="AH439" s="414"/>
      <c r="AI439" s="414"/>
      <c r="AJ439" s="414"/>
      <c r="AK439" s="414"/>
      <c r="AL439" s="414"/>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76">
        <f>Y439</f>
        <v>0</v>
      </c>
      <c r="Z440" s="776">
        <f>Z439</f>
        <v>1</v>
      </c>
      <c r="AA440" s="776">
        <f t="shared" ref="AA440" si="215">AA439</f>
        <v>0</v>
      </c>
      <c r="AB440" s="410">
        <f t="shared" ref="AB440:AL440" si="216">AB439</f>
        <v>0</v>
      </c>
      <c r="AC440" s="410">
        <f t="shared" si="216"/>
        <v>0</v>
      </c>
      <c r="AD440" s="410">
        <f t="shared" si="216"/>
        <v>0</v>
      </c>
      <c r="AE440" s="410">
        <f t="shared" si="216"/>
        <v>0</v>
      </c>
      <c r="AF440" s="410">
        <f t="shared" si="216"/>
        <v>0</v>
      </c>
      <c r="AG440" s="410">
        <f t="shared" si="216"/>
        <v>0</v>
      </c>
      <c r="AH440" s="410">
        <f t="shared" si="216"/>
        <v>0</v>
      </c>
      <c r="AI440" s="410">
        <f t="shared" si="216"/>
        <v>0</v>
      </c>
      <c r="AJ440" s="410">
        <f t="shared" si="216"/>
        <v>0</v>
      </c>
      <c r="AK440" s="410">
        <f t="shared" si="216"/>
        <v>0</v>
      </c>
      <c r="AL440" s="410">
        <f t="shared" si="216"/>
        <v>0</v>
      </c>
      <c r="AM440" s="311"/>
    </row>
    <row r="441" spans="1:39" ht="15" outlineLevel="1">
      <c r="B441" s="314"/>
      <c r="C441" s="312"/>
      <c r="D441" s="758"/>
      <c r="E441" s="758"/>
      <c r="F441" s="758"/>
      <c r="G441" s="758"/>
      <c r="H441" s="758"/>
      <c r="I441" s="758"/>
      <c r="J441" s="758"/>
      <c r="K441" s="758"/>
      <c r="L441" s="758"/>
      <c r="M441" s="758"/>
      <c r="N441" s="758"/>
      <c r="O441" s="758"/>
      <c r="P441" s="758"/>
      <c r="Q441" s="758"/>
      <c r="R441" s="758"/>
      <c r="S441" s="758"/>
      <c r="T441" s="758"/>
      <c r="U441" s="758"/>
      <c r="V441" s="758"/>
      <c r="W441" s="758"/>
      <c r="X441" s="758"/>
      <c r="Y441" s="812"/>
      <c r="Z441" s="818"/>
      <c r="AA441" s="812"/>
      <c r="AB441" s="415"/>
      <c r="AC441" s="415"/>
      <c r="AD441" s="415"/>
      <c r="AE441" s="415"/>
      <c r="AF441" s="415"/>
      <c r="AG441" s="415"/>
      <c r="AH441" s="415"/>
      <c r="AI441" s="415"/>
      <c r="AJ441" s="415"/>
      <c r="AK441" s="415"/>
      <c r="AL441" s="415"/>
      <c r="AM441" s="313"/>
    </row>
    <row r="442" spans="1:39" ht="15" outlineLevel="1">
      <c r="A442" s="504">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773"/>
      <c r="Z442" s="773"/>
      <c r="AA442" s="826"/>
      <c r="AB442" s="414"/>
      <c r="AC442" s="414"/>
      <c r="AD442" s="414"/>
      <c r="AE442" s="414"/>
      <c r="AF442" s="414"/>
      <c r="AG442" s="414"/>
      <c r="AH442" s="414"/>
      <c r="AI442" s="414"/>
      <c r="AJ442" s="414"/>
      <c r="AK442" s="414"/>
      <c r="AL442" s="414"/>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76">
        <f>Y442</f>
        <v>0</v>
      </c>
      <c r="Z443" s="776">
        <f>Z442</f>
        <v>0</v>
      </c>
      <c r="AA443" s="776">
        <f>AA442</f>
        <v>0</v>
      </c>
      <c r="AB443" s="410">
        <f t="shared" ref="AB443:AL443" si="217">AB442</f>
        <v>0</v>
      </c>
      <c r="AC443" s="410">
        <f t="shared" si="217"/>
        <v>0</v>
      </c>
      <c r="AD443" s="410">
        <f t="shared" si="217"/>
        <v>0</v>
      </c>
      <c r="AE443" s="410">
        <f t="shared" si="217"/>
        <v>0</v>
      </c>
      <c r="AF443" s="410">
        <f t="shared" si="217"/>
        <v>0</v>
      </c>
      <c r="AG443" s="410">
        <f t="shared" si="217"/>
        <v>0</v>
      </c>
      <c r="AH443" s="410">
        <f t="shared" si="217"/>
        <v>0</v>
      </c>
      <c r="AI443" s="410">
        <f t="shared" si="217"/>
        <v>0</v>
      </c>
      <c r="AJ443" s="410">
        <f t="shared" si="217"/>
        <v>0</v>
      </c>
      <c r="AK443" s="410">
        <f t="shared" si="217"/>
        <v>0</v>
      </c>
      <c r="AL443" s="410">
        <f t="shared" si="217"/>
        <v>0</v>
      </c>
      <c r="AM443" s="311"/>
    </row>
    <row r="444" spans="1:39" ht="15" outlineLevel="1">
      <c r="B444" s="314"/>
      <c r="C444" s="312"/>
      <c r="D444" s="764"/>
      <c r="E444" s="764"/>
      <c r="F444" s="764"/>
      <c r="G444" s="764"/>
      <c r="H444" s="764"/>
      <c r="I444" s="764"/>
      <c r="J444" s="764"/>
      <c r="K444" s="764"/>
      <c r="L444" s="764"/>
      <c r="M444" s="764"/>
      <c r="N444" s="758"/>
      <c r="O444" s="764"/>
      <c r="P444" s="764"/>
      <c r="Q444" s="764"/>
      <c r="R444" s="764"/>
      <c r="S444" s="764"/>
      <c r="T444" s="764"/>
      <c r="U444" s="764"/>
      <c r="V444" s="764"/>
      <c r="W444" s="764"/>
      <c r="X444" s="764"/>
      <c r="Y444" s="812"/>
      <c r="Z444" s="818"/>
      <c r="AA444" s="812"/>
      <c r="AB444" s="415"/>
      <c r="AC444" s="415"/>
      <c r="AD444" s="415"/>
      <c r="AE444" s="415"/>
      <c r="AF444" s="415"/>
      <c r="AG444" s="415"/>
      <c r="AH444" s="415"/>
      <c r="AI444" s="415"/>
      <c r="AJ444" s="415"/>
      <c r="AK444" s="415"/>
      <c r="AL444" s="415"/>
      <c r="AM444" s="313"/>
    </row>
    <row r="445" spans="1:39" ht="15" outlineLevel="1">
      <c r="A445" s="504">
        <v>13</v>
      </c>
      <c r="B445" s="314" t="s">
        <v>24</v>
      </c>
      <c r="C445" s="291" t="s">
        <v>25</v>
      </c>
      <c r="D445" s="295">
        <f>+'7.  Persistence Report'!AT136</f>
        <v>9537.6134789999996</v>
      </c>
      <c r="E445" s="295">
        <f>+'7.  Persistence Report'!AU136</f>
        <v>9537.6134789999996</v>
      </c>
      <c r="F445" s="295">
        <f>+'7.  Persistence Report'!AV136</f>
        <v>9537.6134789999996</v>
      </c>
      <c r="G445" s="295">
        <f>+'7.  Persistence Report'!AW136</f>
        <v>9537.6134789999996</v>
      </c>
      <c r="H445" s="295">
        <f>+'7.  Persistence Report'!AX136</f>
        <v>9537.6134789999996</v>
      </c>
      <c r="I445" s="295">
        <f>+'7.  Persistence Report'!AY136</f>
        <v>9537.6134789999996</v>
      </c>
      <c r="J445" s="295">
        <f>+'7.  Persistence Report'!AZ136</f>
        <v>9537.6134789999996</v>
      </c>
      <c r="K445" s="295">
        <f>+'7.  Persistence Report'!BA136</f>
        <v>9537.6134789999996</v>
      </c>
      <c r="L445" s="295">
        <f>+'7.  Persistence Report'!BB136</f>
        <v>9537.6134789999996</v>
      </c>
      <c r="M445" s="295">
        <f>+'7.  Persistence Report'!BC136</f>
        <v>9537.6134789999996</v>
      </c>
      <c r="N445" s="295">
        <v>12</v>
      </c>
      <c r="O445" s="295">
        <f>+'7.  Persistence Report'!O136</f>
        <v>5.1362662200000004</v>
      </c>
      <c r="P445" s="295">
        <f>+'7.  Persistence Report'!P136</f>
        <v>5.1362662200000004</v>
      </c>
      <c r="Q445" s="295">
        <f>+'7.  Persistence Report'!Q136</f>
        <v>5.1362662200000004</v>
      </c>
      <c r="R445" s="295">
        <f>+'7.  Persistence Report'!R136</f>
        <v>5.1362662200000004</v>
      </c>
      <c r="S445" s="295">
        <f>+'7.  Persistence Report'!S136</f>
        <v>5.1362662200000004</v>
      </c>
      <c r="T445" s="295">
        <f>+'7.  Persistence Report'!T136</f>
        <v>5.1362662200000004</v>
      </c>
      <c r="U445" s="295">
        <f>+'7.  Persistence Report'!U136</f>
        <v>5.1362662200000004</v>
      </c>
      <c r="V445" s="295">
        <f>+'7.  Persistence Report'!V136</f>
        <v>5.1362662200000004</v>
      </c>
      <c r="W445" s="295">
        <f>+'7.  Persistence Report'!W136</f>
        <v>5.1362662200000004</v>
      </c>
      <c r="X445" s="295">
        <f>+'7.  Persistence Report'!X136</f>
        <v>5.1362662200000004</v>
      </c>
      <c r="Y445" s="773"/>
      <c r="Z445" s="826">
        <v>1</v>
      </c>
      <c r="AA445" s="826">
        <v>0</v>
      </c>
      <c r="AB445" s="414"/>
      <c r="AC445" s="414"/>
      <c r="AD445" s="414"/>
      <c r="AE445" s="414"/>
      <c r="AF445" s="414"/>
      <c r="AG445" s="414"/>
      <c r="AH445" s="414"/>
      <c r="AI445" s="414"/>
      <c r="AJ445" s="414"/>
      <c r="AK445" s="414"/>
      <c r="AL445" s="414"/>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76">
        <f>Y445</f>
        <v>0</v>
      </c>
      <c r="Z446" s="776">
        <f>Z445</f>
        <v>1</v>
      </c>
      <c r="AA446" s="776">
        <f>AA445</f>
        <v>0</v>
      </c>
      <c r="AB446" s="410">
        <f t="shared" ref="AB446:AL446" si="218">AB445</f>
        <v>0</v>
      </c>
      <c r="AC446" s="410">
        <f t="shared" si="218"/>
        <v>0</v>
      </c>
      <c r="AD446" s="410">
        <f t="shared" si="218"/>
        <v>0</v>
      </c>
      <c r="AE446" s="410">
        <f t="shared" si="218"/>
        <v>0</v>
      </c>
      <c r="AF446" s="410">
        <f t="shared" si="218"/>
        <v>0</v>
      </c>
      <c r="AG446" s="410">
        <f t="shared" si="218"/>
        <v>0</v>
      </c>
      <c r="AH446" s="410">
        <f t="shared" si="218"/>
        <v>0</v>
      </c>
      <c r="AI446" s="410">
        <f t="shared" si="218"/>
        <v>0</v>
      </c>
      <c r="AJ446" s="410">
        <f t="shared" si="218"/>
        <v>0</v>
      </c>
      <c r="AK446" s="410">
        <f t="shared" si="218"/>
        <v>0</v>
      </c>
      <c r="AL446" s="410">
        <f t="shared" si="218"/>
        <v>0</v>
      </c>
      <c r="AM446" s="311"/>
    </row>
    <row r="447" spans="1:39" ht="15" outlineLevel="1">
      <c r="B447" s="314"/>
      <c r="C447" s="312"/>
      <c r="D447" s="764"/>
      <c r="E447" s="764"/>
      <c r="F447" s="764"/>
      <c r="G447" s="764"/>
      <c r="H447" s="764"/>
      <c r="I447" s="764"/>
      <c r="J447" s="764"/>
      <c r="K447" s="764"/>
      <c r="L447" s="764"/>
      <c r="M447" s="764"/>
      <c r="N447" s="758"/>
      <c r="O447" s="764"/>
      <c r="P447" s="764"/>
      <c r="Q447" s="764"/>
      <c r="R447" s="764"/>
      <c r="S447" s="764"/>
      <c r="T447" s="764"/>
      <c r="U447" s="764"/>
      <c r="V447" s="764"/>
      <c r="W447" s="764"/>
      <c r="X447" s="764"/>
      <c r="Y447" s="812"/>
      <c r="Z447" s="812"/>
      <c r="AA447" s="812"/>
      <c r="AB447" s="415"/>
      <c r="AC447" s="415"/>
      <c r="AD447" s="415"/>
      <c r="AE447" s="415"/>
      <c r="AF447" s="415"/>
      <c r="AG447" s="415"/>
      <c r="AH447" s="415"/>
      <c r="AI447" s="415"/>
      <c r="AJ447" s="415"/>
      <c r="AK447" s="415"/>
      <c r="AL447" s="415"/>
      <c r="AM447" s="313"/>
    </row>
    <row r="448" spans="1:39" ht="15" outlineLevel="1">
      <c r="A448" s="504">
        <v>14</v>
      </c>
      <c r="B448" s="314" t="s">
        <v>20</v>
      </c>
      <c r="C448" s="291" t="s">
        <v>25</v>
      </c>
      <c r="D448" s="295">
        <f>+'7.  Persistence Report'!AT135</f>
        <v>718009.27060000005</v>
      </c>
      <c r="E448" s="295">
        <f>+'7.  Persistence Report'!AU135</f>
        <v>718009.27060000005</v>
      </c>
      <c r="F448" s="295">
        <f>+'7.  Persistence Report'!AV135</f>
        <v>718009.27060000005</v>
      </c>
      <c r="G448" s="295">
        <f>+'7.  Persistence Report'!AW135</f>
        <v>718009.27060000005</v>
      </c>
      <c r="H448" s="295">
        <f>+'7.  Persistence Report'!AX135</f>
        <v>0</v>
      </c>
      <c r="I448" s="295">
        <f>+'7.  Persistence Report'!AY135</f>
        <v>0</v>
      </c>
      <c r="J448" s="295">
        <f>+'7.  Persistence Report'!AZ135</f>
        <v>0</v>
      </c>
      <c r="K448" s="295">
        <f>+'7.  Persistence Report'!BA135</f>
        <v>0</v>
      </c>
      <c r="L448" s="295">
        <f>+'7.  Persistence Report'!BB135</f>
        <v>0</v>
      </c>
      <c r="M448" s="295">
        <f>+'7.  Persistence Report'!BC135</f>
        <v>0</v>
      </c>
      <c r="N448" s="295">
        <v>12</v>
      </c>
      <c r="O448" s="295">
        <f>+'7.  Persistence Report'!O135</f>
        <v>147.03623569999999</v>
      </c>
      <c r="P448" s="295">
        <f>+'7.  Persistence Report'!P135</f>
        <v>147.03623569999999</v>
      </c>
      <c r="Q448" s="295">
        <f>+'7.  Persistence Report'!Q135</f>
        <v>147.03623569999999</v>
      </c>
      <c r="R448" s="295">
        <f>+'7.  Persistence Report'!R135</f>
        <v>147.03623569999999</v>
      </c>
      <c r="S448" s="295">
        <f>+'7.  Persistence Report'!S135</f>
        <v>0</v>
      </c>
      <c r="T448" s="295">
        <f>+'7.  Persistence Report'!T135</f>
        <v>0</v>
      </c>
      <c r="U448" s="295">
        <f>+'7.  Persistence Report'!U135</f>
        <v>0</v>
      </c>
      <c r="V448" s="295">
        <f>+'7.  Persistence Report'!V135</f>
        <v>0</v>
      </c>
      <c r="W448" s="295">
        <f>+'7.  Persistence Report'!W135</f>
        <v>0</v>
      </c>
      <c r="X448" s="295">
        <f>+'7.  Persistence Report'!X135</f>
        <v>0</v>
      </c>
      <c r="Y448" s="773"/>
      <c r="Z448" s="826">
        <v>1</v>
      </c>
      <c r="AA448" s="826">
        <v>0</v>
      </c>
      <c r="AB448" s="414"/>
      <c r="AC448" s="414"/>
      <c r="AD448" s="414"/>
      <c r="AE448" s="414"/>
      <c r="AF448" s="414"/>
      <c r="AG448" s="414"/>
      <c r="AH448" s="414"/>
      <c r="AI448" s="414"/>
      <c r="AJ448" s="414"/>
      <c r="AK448" s="414"/>
      <c r="AL448" s="414"/>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76">
        <f>Y448</f>
        <v>0</v>
      </c>
      <c r="Z449" s="776">
        <f>Z448</f>
        <v>1</v>
      </c>
      <c r="AA449" s="776">
        <f t="shared" ref="AA449" si="219">AA448</f>
        <v>0</v>
      </c>
      <c r="AB449" s="410">
        <f t="shared" ref="AB449:AL449" si="220">AB448</f>
        <v>0</v>
      </c>
      <c r="AC449" s="410">
        <f t="shared" si="220"/>
        <v>0</v>
      </c>
      <c r="AD449" s="410">
        <f t="shared" si="220"/>
        <v>0</v>
      </c>
      <c r="AE449" s="410">
        <f t="shared" si="220"/>
        <v>0</v>
      </c>
      <c r="AF449" s="410">
        <f t="shared" si="220"/>
        <v>0</v>
      </c>
      <c r="AG449" s="410">
        <f t="shared" si="220"/>
        <v>0</v>
      </c>
      <c r="AH449" s="410">
        <f t="shared" si="220"/>
        <v>0</v>
      </c>
      <c r="AI449" s="410">
        <f t="shared" si="220"/>
        <v>0</v>
      </c>
      <c r="AJ449" s="410">
        <f t="shared" si="220"/>
        <v>0</v>
      </c>
      <c r="AK449" s="410">
        <f t="shared" si="220"/>
        <v>0</v>
      </c>
      <c r="AL449" s="410">
        <f t="shared" si="220"/>
        <v>0</v>
      </c>
      <c r="AM449" s="311"/>
    </row>
    <row r="450" spans="1:39" ht="15" outlineLevel="1">
      <c r="B450" s="314"/>
      <c r="C450" s="312"/>
      <c r="D450" s="764"/>
      <c r="E450" s="764"/>
      <c r="F450" s="764"/>
      <c r="G450" s="764"/>
      <c r="H450" s="764"/>
      <c r="I450" s="764"/>
      <c r="J450" s="764"/>
      <c r="K450" s="764"/>
      <c r="L450" s="764"/>
      <c r="M450" s="764"/>
      <c r="N450" s="758"/>
      <c r="O450" s="764"/>
      <c r="P450" s="764"/>
      <c r="Q450" s="764"/>
      <c r="R450" s="764"/>
      <c r="S450" s="764"/>
      <c r="T450" s="764"/>
      <c r="U450" s="764"/>
      <c r="V450" s="764"/>
      <c r="W450" s="764"/>
      <c r="X450" s="764"/>
      <c r="Y450" s="812"/>
      <c r="Z450" s="818"/>
      <c r="AA450" s="812"/>
      <c r="AB450" s="415"/>
      <c r="AC450" s="415"/>
      <c r="AD450" s="415"/>
      <c r="AE450" s="415"/>
      <c r="AF450" s="415"/>
      <c r="AG450" s="415"/>
      <c r="AH450" s="415"/>
      <c r="AI450" s="415"/>
      <c r="AJ450" s="415"/>
      <c r="AK450" s="415"/>
      <c r="AL450" s="415"/>
      <c r="AM450" s="313"/>
    </row>
    <row r="451" spans="1:39" s="283" customFormat="1" ht="15" outlineLevel="1">
      <c r="A451" s="504">
        <v>15</v>
      </c>
      <c r="B451" s="314" t="s">
        <v>486</v>
      </c>
      <c r="C451" s="291" t="s">
        <v>25</v>
      </c>
      <c r="D451" s="295">
        <f>+'7.  Persistence Report'!AT153</f>
        <v>0</v>
      </c>
      <c r="E451" s="295">
        <f>+'7.  Persistence Report'!AU153</f>
        <v>0</v>
      </c>
      <c r="F451" s="295">
        <f>+'7.  Persistence Report'!AV153</f>
        <v>0</v>
      </c>
      <c r="G451" s="295">
        <f>+'7.  Persistence Report'!AW153</f>
        <v>0</v>
      </c>
      <c r="H451" s="295">
        <f>+'7.  Persistence Report'!AX153</f>
        <v>0</v>
      </c>
      <c r="I451" s="295">
        <f>+'7.  Persistence Report'!AY153</f>
        <v>0</v>
      </c>
      <c r="J451" s="295">
        <f>+'7.  Persistence Report'!AZ153</f>
        <v>0</v>
      </c>
      <c r="K451" s="295">
        <f>+'7.  Persistence Report'!BA153</f>
        <v>0</v>
      </c>
      <c r="L451" s="295">
        <f>+'7.  Persistence Report'!BB153</f>
        <v>0</v>
      </c>
      <c r="M451" s="295">
        <f>+'7.  Persistence Report'!BC153</f>
        <v>0</v>
      </c>
      <c r="N451" s="758"/>
      <c r="O451" s="295">
        <f>+'7.  Persistence Report'!O153</f>
        <v>6.736599</v>
      </c>
      <c r="P451" s="295">
        <f>+'7.  Persistence Report'!P153</f>
        <v>0</v>
      </c>
      <c r="Q451" s="295">
        <f>+'7.  Persistence Report'!Q153</f>
        <v>0</v>
      </c>
      <c r="R451" s="295">
        <f>+'7.  Persistence Report'!R153</f>
        <v>0</v>
      </c>
      <c r="S451" s="295">
        <f>+'7.  Persistence Report'!S153</f>
        <v>0</v>
      </c>
      <c r="T451" s="295">
        <f>+'7.  Persistence Report'!T153</f>
        <v>0</v>
      </c>
      <c r="U451" s="295">
        <f>+'7.  Persistence Report'!U153</f>
        <v>0</v>
      </c>
      <c r="V451" s="295">
        <f>+'7.  Persistence Report'!V153</f>
        <v>0</v>
      </c>
      <c r="W451" s="295">
        <f>+'7.  Persistence Report'!W153</f>
        <v>0</v>
      </c>
      <c r="X451" s="295">
        <f>+'7.  Persistence Report'!X153</f>
        <v>0</v>
      </c>
      <c r="Y451" s="773"/>
      <c r="Z451" s="826">
        <v>1</v>
      </c>
      <c r="AA451" s="826">
        <v>0</v>
      </c>
      <c r="AB451" s="414"/>
      <c r="AC451" s="414"/>
      <c r="AD451" s="414"/>
      <c r="AE451" s="414"/>
      <c r="AF451" s="414"/>
      <c r="AG451" s="414"/>
      <c r="AH451" s="414"/>
      <c r="AI451" s="414"/>
      <c r="AJ451" s="414"/>
      <c r="AK451" s="414"/>
      <c r="AL451" s="414"/>
      <c r="AM451" s="296">
        <f>SUM(Y451:AL451)</f>
        <v>1</v>
      </c>
    </row>
    <row r="452" spans="1:39" s="283" customFormat="1" ht="15" outlineLevel="1">
      <c r="A452" s="504"/>
      <c r="B452" s="314" t="s">
        <v>259</v>
      </c>
      <c r="C452" s="291" t="s">
        <v>163</v>
      </c>
      <c r="D452" s="295"/>
      <c r="E452" s="295"/>
      <c r="F452" s="295"/>
      <c r="G452" s="295"/>
      <c r="H452" s="295"/>
      <c r="I452" s="295"/>
      <c r="J452" s="295"/>
      <c r="K452" s="295"/>
      <c r="L452" s="295"/>
      <c r="M452" s="295"/>
      <c r="N452" s="758"/>
      <c r="O452" s="295"/>
      <c r="P452" s="295"/>
      <c r="Q452" s="295"/>
      <c r="R452" s="295"/>
      <c r="S452" s="295"/>
      <c r="T452" s="295"/>
      <c r="U452" s="295"/>
      <c r="V452" s="295"/>
      <c r="W452" s="295"/>
      <c r="X452" s="295"/>
      <c r="Y452" s="776">
        <f>Y451</f>
        <v>0</v>
      </c>
      <c r="Z452" s="776">
        <f>Z451</f>
        <v>1</v>
      </c>
      <c r="AA452" s="776">
        <f t="shared" ref="AA452" si="221">AA451</f>
        <v>0</v>
      </c>
      <c r="AB452" s="410">
        <f t="shared" ref="AB452:AL452" si="222">AB451</f>
        <v>0</v>
      </c>
      <c r="AC452" s="410">
        <f t="shared" si="222"/>
        <v>0</v>
      </c>
      <c r="AD452" s="410">
        <f t="shared" si="222"/>
        <v>0</v>
      </c>
      <c r="AE452" s="410">
        <f t="shared" si="222"/>
        <v>0</v>
      </c>
      <c r="AF452" s="410">
        <f t="shared" si="222"/>
        <v>0</v>
      </c>
      <c r="AG452" s="410">
        <f t="shared" si="222"/>
        <v>0</v>
      </c>
      <c r="AH452" s="410">
        <f t="shared" si="222"/>
        <v>0</v>
      </c>
      <c r="AI452" s="410">
        <f t="shared" si="222"/>
        <v>0</v>
      </c>
      <c r="AJ452" s="410">
        <f t="shared" si="222"/>
        <v>0</v>
      </c>
      <c r="AK452" s="410">
        <f t="shared" si="222"/>
        <v>0</v>
      </c>
      <c r="AL452" s="410">
        <f t="shared" si="222"/>
        <v>0</v>
      </c>
      <c r="AM452" s="311"/>
    </row>
    <row r="453" spans="1:39" s="283" customFormat="1" ht="15" outlineLevel="1">
      <c r="A453" s="504"/>
      <c r="B453" s="314"/>
      <c r="C453" s="312"/>
      <c r="D453" s="764"/>
      <c r="E453" s="764"/>
      <c r="F453" s="764"/>
      <c r="G453" s="764"/>
      <c r="H453" s="764"/>
      <c r="I453" s="764"/>
      <c r="J453" s="764"/>
      <c r="K453" s="764"/>
      <c r="L453" s="764"/>
      <c r="M453" s="764"/>
      <c r="N453" s="758"/>
      <c r="O453" s="764"/>
      <c r="P453" s="764"/>
      <c r="Q453" s="764"/>
      <c r="R453" s="764"/>
      <c r="S453" s="764"/>
      <c r="T453" s="764"/>
      <c r="U453" s="764"/>
      <c r="V453" s="764"/>
      <c r="W453" s="764"/>
      <c r="X453" s="764"/>
      <c r="Y453" s="813"/>
      <c r="Z453" s="812"/>
      <c r="AA453" s="812"/>
      <c r="AB453" s="415"/>
      <c r="AC453" s="415"/>
      <c r="AD453" s="415"/>
      <c r="AE453" s="415"/>
      <c r="AF453" s="415"/>
      <c r="AG453" s="415"/>
      <c r="AH453" s="415"/>
      <c r="AI453" s="415"/>
      <c r="AJ453" s="415"/>
      <c r="AK453" s="415"/>
      <c r="AL453" s="415"/>
      <c r="AM453" s="313"/>
    </row>
    <row r="454" spans="1:39" s="283" customFormat="1" ht="30" outlineLevel="1">
      <c r="A454" s="504">
        <v>16</v>
      </c>
      <c r="B454" s="314" t="s">
        <v>487</v>
      </c>
      <c r="C454" s="291" t="s">
        <v>25</v>
      </c>
      <c r="D454" s="295"/>
      <c r="E454" s="295"/>
      <c r="F454" s="295"/>
      <c r="G454" s="295"/>
      <c r="H454" s="295"/>
      <c r="I454" s="295"/>
      <c r="J454" s="295"/>
      <c r="K454" s="295"/>
      <c r="L454" s="295"/>
      <c r="M454" s="295"/>
      <c r="N454" s="758"/>
      <c r="O454" s="295"/>
      <c r="P454" s="295"/>
      <c r="Q454" s="295"/>
      <c r="R454" s="295"/>
      <c r="S454" s="295"/>
      <c r="T454" s="295"/>
      <c r="U454" s="295"/>
      <c r="V454" s="295"/>
      <c r="W454" s="295"/>
      <c r="X454" s="295"/>
      <c r="Y454" s="773"/>
      <c r="Z454" s="773"/>
      <c r="AA454" s="773"/>
      <c r="AB454" s="414"/>
      <c r="AC454" s="414"/>
      <c r="AD454" s="414"/>
      <c r="AE454" s="414"/>
      <c r="AF454" s="414"/>
      <c r="AG454" s="414"/>
      <c r="AH454" s="414"/>
      <c r="AI454" s="414"/>
      <c r="AJ454" s="414"/>
      <c r="AK454" s="414"/>
      <c r="AL454" s="414"/>
      <c r="AM454" s="296">
        <f>SUM(Y454:AL454)</f>
        <v>0</v>
      </c>
    </row>
    <row r="455" spans="1:39" s="283" customFormat="1" ht="15" outlineLevel="1">
      <c r="A455" s="504"/>
      <c r="B455" s="314" t="s">
        <v>259</v>
      </c>
      <c r="C455" s="291" t="s">
        <v>163</v>
      </c>
      <c r="D455" s="295"/>
      <c r="E455" s="295"/>
      <c r="F455" s="295"/>
      <c r="G455" s="295"/>
      <c r="H455" s="295"/>
      <c r="I455" s="295"/>
      <c r="J455" s="295"/>
      <c r="K455" s="295"/>
      <c r="L455" s="295"/>
      <c r="M455" s="295"/>
      <c r="N455" s="758"/>
      <c r="O455" s="295"/>
      <c r="P455" s="295"/>
      <c r="Q455" s="295"/>
      <c r="R455" s="295"/>
      <c r="S455" s="295"/>
      <c r="T455" s="295"/>
      <c r="U455" s="295"/>
      <c r="V455" s="295"/>
      <c r="W455" s="295"/>
      <c r="X455" s="295"/>
      <c r="Y455" s="776">
        <f>Y454</f>
        <v>0</v>
      </c>
      <c r="Z455" s="776">
        <f>Z454</f>
        <v>0</v>
      </c>
      <c r="AA455" s="776">
        <f t="shared" ref="AA455" si="223">AA454</f>
        <v>0</v>
      </c>
      <c r="AB455" s="410">
        <f t="shared" ref="AB455:AL455" si="224">AB454</f>
        <v>0</v>
      </c>
      <c r="AC455" s="410">
        <f t="shared" si="224"/>
        <v>0</v>
      </c>
      <c r="AD455" s="410">
        <f t="shared" si="224"/>
        <v>0</v>
      </c>
      <c r="AE455" s="410">
        <f t="shared" si="224"/>
        <v>0</v>
      </c>
      <c r="AF455" s="410">
        <f t="shared" si="224"/>
        <v>0</v>
      </c>
      <c r="AG455" s="410">
        <f t="shared" si="224"/>
        <v>0</v>
      </c>
      <c r="AH455" s="410">
        <f t="shared" si="224"/>
        <v>0</v>
      </c>
      <c r="AI455" s="410">
        <f t="shared" si="224"/>
        <v>0</v>
      </c>
      <c r="AJ455" s="410">
        <f t="shared" si="224"/>
        <v>0</v>
      </c>
      <c r="AK455" s="410">
        <f t="shared" si="224"/>
        <v>0</v>
      </c>
      <c r="AL455" s="410">
        <f t="shared" si="224"/>
        <v>0</v>
      </c>
      <c r="AM455" s="311"/>
    </row>
    <row r="456" spans="1:39" s="283" customFormat="1" ht="15" outlineLevel="1">
      <c r="A456" s="504"/>
      <c r="B456" s="314"/>
      <c r="C456" s="312"/>
      <c r="D456" s="764"/>
      <c r="E456" s="764"/>
      <c r="F456" s="764"/>
      <c r="G456" s="764"/>
      <c r="H456" s="764"/>
      <c r="I456" s="764"/>
      <c r="J456" s="764"/>
      <c r="K456" s="764"/>
      <c r="L456" s="764"/>
      <c r="M456" s="764"/>
      <c r="N456" s="758"/>
      <c r="O456" s="764"/>
      <c r="P456" s="764"/>
      <c r="Q456" s="764"/>
      <c r="R456" s="764"/>
      <c r="S456" s="764"/>
      <c r="T456" s="764"/>
      <c r="U456" s="764"/>
      <c r="V456" s="764"/>
      <c r="W456" s="764"/>
      <c r="X456" s="764"/>
      <c r="Y456" s="813"/>
      <c r="Z456" s="812"/>
      <c r="AA456" s="812"/>
      <c r="AB456" s="415"/>
      <c r="AC456" s="415"/>
      <c r="AD456" s="415"/>
      <c r="AE456" s="415"/>
      <c r="AF456" s="415"/>
      <c r="AG456" s="415"/>
      <c r="AH456" s="415"/>
      <c r="AI456" s="415"/>
      <c r="AJ456" s="415"/>
      <c r="AK456" s="415"/>
      <c r="AL456" s="415"/>
      <c r="AM456" s="313"/>
    </row>
    <row r="457" spans="1:39" ht="15" outlineLevel="1">
      <c r="A457" s="504">
        <v>17</v>
      </c>
      <c r="B457" s="314" t="s">
        <v>9</v>
      </c>
      <c r="C457" s="291" t="s">
        <v>25</v>
      </c>
      <c r="D457" s="295">
        <f>+'7.  Persistence Report'!AT150+'7.  Persistence Report'!AT152</f>
        <v>0</v>
      </c>
      <c r="E457" s="295">
        <f>+'7.  Persistence Report'!AU150+'7.  Persistence Report'!AU152</f>
        <v>0</v>
      </c>
      <c r="F457" s="295">
        <f>+'7.  Persistence Report'!AV150+'7.  Persistence Report'!AV152</f>
        <v>0</v>
      </c>
      <c r="G457" s="295">
        <f>+'7.  Persistence Report'!AW150+'7.  Persistence Report'!AW152</f>
        <v>0</v>
      </c>
      <c r="H457" s="295">
        <f>+'7.  Persistence Report'!AX150+'7.  Persistence Report'!AX152</f>
        <v>0</v>
      </c>
      <c r="I457" s="295">
        <f>+'7.  Persistence Report'!AY150+'7.  Persistence Report'!AY152</f>
        <v>0</v>
      </c>
      <c r="J457" s="295">
        <f>+'7.  Persistence Report'!AZ150+'7.  Persistence Report'!AZ152</f>
        <v>0</v>
      </c>
      <c r="K457" s="295">
        <f>+'7.  Persistence Report'!BA150+'7.  Persistence Report'!BA152</f>
        <v>0</v>
      </c>
      <c r="L457" s="295">
        <f>+'7.  Persistence Report'!BB150+'7.  Persistence Report'!BB152</f>
        <v>0</v>
      </c>
      <c r="M457" s="295">
        <f>+'7.  Persistence Report'!BC150+'7.  Persistence Report'!BC152</f>
        <v>0</v>
      </c>
      <c r="N457" s="758"/>
      <c r="O457" s="295">
        <f>+'7.  Persistence Report'!O150+'7.  Persistence Report'!O152</f>
        <v>634.18079999999998</v>
      </c>
      <c r="P457" s="295">
        <f>+'7.  Persistence Report'!P150+'7.  Persistence Report'!P152</f>
        <v>0</v>
      </c>
      <c r="Q457" s="295">
        <f>+'7.  Persistence Report'!Q150+'7.  Persistence Report'!Q152</f>
        <v>0</v>
      </c>
      <c r="R457" s="295">
        <f>+'7.  Persistence Report'!R150+'7.  Persistence Report'!R152</f>
        <v>0</v>
      </c>
      <c r="S457" s="295">
        <f>+'7.  Persistence Report'!S150+'7.  Persistence Report'!S152</f>
        <v>0</v>
      </c>
      <c r="T457" s="295">
        <f>+'7.  Persistence Report'!T150+'7.  Persistence Report'!T152</f>
        <v>0</v>
      </c>
      <c r="U457" s="295">
        <f>+'7.  Persistence Report'!U150+'7.  Persistence Report'!U152</f>
        <v>0</v>
      </c>
      <c r="V457" s="295">
        <f>+'7.  Persistence Report'!V150+'7.  Persistence Report'!V152</f>
        <v>0</v>
      </c>
      <c r="W457" s="295">
        <f>+'7.  Persistence Report'!W150+'7.  Persistence Report'!W152</f>
        <v>0</v>
      </c>
      <c r="X457" s="295">
        <f>+'7.  Persistence Report'!X150+'7.  Persistence Report'!X152</f>
        <v>0</v>
      </c>
      <c r="Y457" s="773"/>
      <c r="Z457" s="822">
        <v>0.14199999999999999</v>
      </c>
      <c r="AA457" s="822">
        <v>0.85799999999999998</v>
      </c>
      <c r="AB457" s="414"/>
      <c r="AC457" s="414"/>
      <c r="AD457" s="414"/>
      <c r="AE457" s="414"/>
      <c r="AF457" s="414"/>
      <c r="AG457" s="414"/>
      <c r="AH457" s="414"/>
      <c r="AI457" s="414"/>
      <c r="AJ457" s="414"/>
      <c r="AK457" s="414"/>
      <c r="AL457" s="414"/>
      <c r="AM457" s="296">
        <f>SUM(Y457:AL457)</f>
        <v>1</v>
      </c>
    </row>
    <row r="458" spans="1:39" ht="15" outlineLevel="1">
      <c r="B458" s="294" t="s">
        <v>259</v>
      </c>
      <c r="C458" s="291" t="s">
        <v>163</v>
      </c>
      <c r="D458" s="295"/>
      <c r="E458" s="295"/>
      <c r="F458" s="295"/>
      <c r="G458" s="295"/>
      <c r="H458" s="295"/>
      <c r="I458" s="295"/>
      <c r="J458" s="295"/>
      <c r="K458" s="295"/>
      <c r="L458" s="295"/>
      <c r="M458" s="295"/>
      <c r="N458" s="758"/>
      <c r="O458" s="295"/>
      <c r="P458" s="295"/>
      <c r="Q458" s="295"/>
      <c r="R458" s="295"/>
      <c r="S458" s="295"/>
      <c r="T458" s="295"/>
      <c r="U458" s="295"/>
      <c r="V458" s="295"/>
      <c r="W458" s="295"/>
      <c r="X458" s="295"/>
      <c r="Y458" s="776">
        <f>Y457</f>
        <v>0</v>
      </c>
      <c r="Z458" s="776">
        <f>Z457</f>
        <v>0.14199999999999999</v>
      </c>
      <c r="AA458" s="776">
        <f t="shared" ref="AA458" si="225">AA457</f>
        <v>0.85799999999999998</v>
      </c>
      <c r="AB458" s="410">
        <f t="shared" ref="AB458:AL458" si="226">AB457</f>
        <v>0</v>
      </c>
      <c r="AC458" s="410">
        <f t="shared" si="226"/>
        <v>0</v>
      </c>
      <c r="AD458" s="410">
        <f t="shared" si="226"/>
        <v>0</v>
      </c>
      <c r="AE458" s="410">
        <f t="shared" si="226"/>
        <v>0</v>
      </c>
      <c r="AF458" s="410">
        <f t="shared" si="226"/>
        <v>0</v>
      </c>
      <c r="AG458" s="410">
        <f t="shared" si="226"/>
        <v>0</v>
      </c>
      <c r="AH458" s="410">
        <f t="shared" si="226"/>
        <v>0</v>
      </c>
      <c r="AI458" s="410">
        <f t="shared" si="226"/>
        <v>0</v>
      </c>
      <c r="AJ458" s="410">
        <f t="shared" si="226"/>
        <v>0</v>
      </c>
      <c r="AK458" s="410">
        <f t="shared" si="226"/>
        <v>0</v>
      </c>
      <c r="AL458" s="410">
        <f t="shared" si="226"/>
        <v>0</v>
      </c>
      <c r="AM458" s="311"/>
    </row>
    <row r="459" spans="1:39" ht="15" outlineLevel="1">
      <c r="B459" s="315"/>
      <c r="C459" s="305"/>
      <c r="D459" s="758"/>
      <c r="E459" s="758"/>
      <c r="F459" s="758"/>
      <c r="G459" s="758"/>
      <c r="H459" s="758"/>
      <c r="I459" s="758"/>
      <c r="J459" s="758"/>
      <c r="K459" s="758"/>
      <c r="L459" s="758"/>
      <c r="M459" s="758"/>
      <c r="N459" s="758"/>
      <c r="O459" s="758"/>
      <c r="P459" s="758"/>
      <c r="Q459" s="758"/>
      <c r="R459" s="758"/>
      <c r="S459" s="758"/>
      <c r="T459" s="758"/>
      <c r="U459" s="758"/>
      <c r="V459" s="758"/>
      <c r="W459" s="758"/>
      <c r="X459" s="758"/>
      <c r="Y459" s="814"/>
      <c r="Z459" s="823"/>
      <c r="AA459" s="823"/>
      <c r="AB459" s="417"/>
      <c r="AC459" s="417"/>
      <c r="AD459" s="417"/>
      <c r="AE459" s="417"/>
      <c r="AF459" s="417"/>
      <c r="AG459" s="417"/>
      <c r="AH459" s="417"/>
      <c r="AI459" s="417"/>
      <c r="AJ459" s="417"/>
      <c r="AK459" s="417"/>
      <c r="AL459" s="417"/>
      <c r="AM459" s="317"/>
    </row>
    <row r="460" spans="1:39" ht="15.75" outlineLevel="1">
      <c r="A460" s="505"/>
      <c r="B460" s="288" t="s">
        <v>10</v>
      </c>
      <c r="C460" s="289"/>
      <c r="D460" s="762"/>
      <c r="E460" s="762"/>
      <c r="F460" s="762"/>
      <c r="G460" s="762"/>
      <c r="H460" s="762"/>
      <c r="I460" s="762"/>
      <c r="J460" s="762"/>
      <c r="K460" s="762"/>
      <c r="L460" s="762"/>
      <c r="M460" s="762"/>
      <c r="N460" s="763"/>
      <c r="O460" s="762"/>
      <c r="P460" s="762"/>
      <c r="Q460" s="762"/>
      <c r="R460" s="762"/>
      <c r="S460" s="762"/>
      <c r="T460" s="762"/>
      <c r="U460" s="762"/>
      <c r="V460" s="762"/>
      <c r="W460" s="762"/>
      <c r="X460" s="762"/>
      <c r="Y460" s="811"/>
      <c r="Z460" s="811"/>
      <c r="AA460" s="811"/>
      <c r="AB460" s="413"/>
      <c r="AC460" s="413"/>
      <c r="AD460" s="413"/>
      <c r="AE460" s="413"/>
      <c r="AF460" s="413"/>
      <c r="AG460" s="413"/>
      <c r="AH460" s="413"/>
      <c r="AI460" s="413"/>
      <c r="AJ460" s="413"/>
      <c r="AK460" s="413"/>
      <c r="AL460" s="413"/>
      <c r="AM460" s="292"/>
    </row>
    <row r="461" spans="1:39" ht="15" outlineLevel="1">
      <c r="A461" s="504">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1"/>
      <c r="Z461" s="773"/>
      <c r="AA461" s="773"/>
      <c r="AB461" s="414"/>
      <c r="AC461" s="414"/>
      <c r="AD461" s="414"/>
      <c r="AE461" s="414"/>
      <c r="AF461" s="414"/>
      <c r="AG461" s="414"/>
      <c r="AH461" s="414"/>
      <c r="AI461" s="414"/>
      <c r="AJ461" s="414"/>
      <c r="AK461" s="414"/>
      <c r="AL461" s="414"/>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76">
        <f>Y461</f>
        <v>0</v>
      </c>
      <c r="Z462" s="776">
        <f>Z461</f>
        <v>0</v>
      </c>
      <c r="AA462" s="776">
        <f t="shared" ref="AA462" si="227">AA461</f>
        <v>0</v>
      </c>
      <c r="AB462" s="410">
        <f t="shared" ref="AB462:AL462" si="228">AB461</f>
        <v>0</v>
      </c>
      <c r="AC462" s="410">
        <f t="shared" si="228"/>
        <v>0</v>
      </c>
      <c r="AD462" s="410">
        <f t="shared" si="228"/>
        <v>0</v>
      </c>
      <c r="AE462" s="410">
        <f t="shared" si="228"/>
        <v>0</v>
      </c>
      <c r="AF462" s="410">
        <f t="shared" si="228"/>
        <v>0</v>
      </c>
      <c r="AG462" s="410">
        <f t="shared" si="228"/>
        <v>0</v>
      </c>
      <c r="AH462" s="410">
        <f t="shared" si="228"/>
        <v>0</v>
      </c>
      <c r="AI462" s="410">
        <f t="shared" si="228"/>
        <v>0</v>
      </c>
      <c r="AJ462" s="410">
        <f t="shared" si="228"/>
        <v>0</v>
      </c>
      <c r="AK462" s="410">
        <f t="shared" si="228"/>
        <v>0</v>
      </c>
      <c r="AL462" s="410">
        <f t="shared" si="228"/>
        <v>0</v>
      </c>
      <c r="AM462" s="297"/>
    </row>
    <row r="463" spans="1:39" ht="15" outlineLevel="1">
      <c r="A463" s="507"/>
      <c r="B463" s="315"/>
      <c r="C463" s="305"/>
      <c r="D463" s="758"/>
      <c r="E463" s="758"/>
      <c r="F463" s="758"/>
      <c r="G463" s="758"/>
      <c r="H463" s="758"/>
      <c r="I463" s="758"/>
      <c r="J463" s="758"/>
      <c r="K463" s="758"/>
      <c r="L463" s="758"/>
      <c r="M463" s="758"/>
      <c r="N463" s="758"/>
      <c r="O463" s="758"/>
      <c r="P463" s="758"/>
      <c r="Q463" s="758"/>
      <c r="R463" s="758"/>
      <c r="S463" s="758"/>
      <c r="T463" s="758"/>
      <c r="U463" s="758"/>
      <c r="V463" s="758"/>
      <c r="W463" s="758"/>
      <c r="X463" s="758"/>
      <c r="Y463" s="777"/>
      <c r="Z463" s="824"/>
      <c r="AA463" s="824"/>
      <c r="AB463" s="418"/>
      <c r="AC463" s="418"/>
      <c r="AD463" s="418"/>
      <c r="AE463" s="418"/>
      <c r="AF463" s="418"/>
      <c r="AG463" s="418"/>
      <c r="AH463" s="418"/>
      <c r="AI463" s="418"/>
      <c r="AJ463" s="418"/>
      <c r="AK463" s="418"/>
      <c r="AL463" s="418"/>
      <c r="AM463" s="306"/>
    </row>
    <row r="464" spans="1:39" ht="15" outlineLevel="1">
      <c r="A464" s="504">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72"/>
      <c r="Z464" s="773"/>
      <c r="AA464" s="773"/>
      <c r="AB464" s="414"/>
      <c r="AC464" s="414"/>
      <c r="AD464" s="414"/>
      <c r="AE464" s="414"/>
      <c r="AF464" s="414"/>
      <c r="AG464" s="414"/>
      <c r="AH464" s="414"/>
      <c r="AI464" s="414"/>
      <c r="AJ464" s="414"/>
      <c r="AK464" s="414"/>
      <c r="AL464" s="414"/>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76">
        <f>Y464</f>
        <v>0</v>
      </c>
      <c r="Z465" s="776">
        <f>Z464</f>
        <v>0</v>
      </c>
      <c r="AA465" s="776">
        <f t="shared" ref="AA465" si="229">AA464</f>
        <v>0</v>
      </c>
      <c r="AB465" s="410">
        <f t="shared" ref="AB465:AL465" si="230">AB464</f>
        <v>0</v>
      </c>
      <c r="AC465" s="410">
        <f t="shared" si="230"/>
        <v>0</v>
      </c>
      <c r="AD465" s="410">
        <f t="shared" si="230"/>
        <v>0</v>
      </c>
      <c r="AE465" s="410">
        <f t="shared" si="230"/>
        <v>0</v>
      </c>
      <c r="AF465" s="410">
        <f t="shared" si="230"/>
        <v>0</v>
      </c>
      <c r="AG465" s="410">
        <f t="shared" si="230"/>
        <v>0</v>
      </c>
      <c r="AH465" s="410">
        <f t="shared" si="230"/>
        <v>0</v>
      </c>
      <c r="AI465" s="410">
        <f t="shared" si="230"/>
        <v>0</v>
      </c>
      <c r="AJ465" s="410">
        <f t="shared" si="230"/>
        <v>0</v>
      </c>
      <c r="AK465" s="410">
        <f t="shared" si="230"/>
        <v>0</v>
      </c>
      <c r="AL465" s="410">
        <f t="shared" si="230"/>
        <v>0</v>
      </c>
      <c r="AM465" s="297"/>
    </row>
    <row r="466" spans="1:39" ht="15" outlineLevel="1">
      <c r="B466" s="315"/>
      <c r="C466" s="305"/>
      <c r="D466" s="758"/>
      <c r="E466" s="758"/>
      <c r="F466" s="758"/>
      <c r="G466" s="758"/>
      <c r="H466" s="758"/>
      <c r="I466" s="758"/>
      <c r="J466" s="758"/>
      <c r="K466" s="758"/>
      <c r="L466" s="758"/>
      <c r="M466" s="758"/>
      <c r="N466" s="758"/>
      <c r="O466" s="758"/>
      <c r="P466" s="758"/>
      <c r="Q466" s="758"/>
      <c r="R466" s="758"/>
      <c r="S466" s="758"/>
      <c r="T466" s="758"/>
      <c r="U466" s="758"/>
      <c r="V466" s="758"/>
      <c r="W466" s="758"/>
      <c r="X466" s="758"/>
      <c r="Y466" s="815"/>
      <c r="Z466" s="815"/>
      <c r="AA466" s="777"/>
      <c r="AB466" s="411"/>
      <c r="AC466" s="411"/>
      <c r="AD466" s="411"/>
      <c r="AE466" s="411"/>
      <c r="AF466" s="411"/>
      <c r="AG466" s="411"/>
      <c r="AH466" s="411"/>
      <c r="AI466" s="411"/>
      <c r="AJ466" s="411"/>
      <c r="AK466" s="411"/>
      <c r="AL466" s="411"/>
      <c r="AM466" s="306"/>
    </row>
    <row r="467" spans="1:39" ht="15" outlineLevel="1">
      <c r="A467" s="504">
        <v>20</v>
      </c>
      <c r="B467" s="315" t="s">
        <v>13</v>
      </c>
      <c r="C467" s="291" t="s">
        <v>25</v>
      </c>
      <c r="D467" s="295">
        <f>+'7.  Persistence Report'!AT156</f>
        <v>358215.1422</v>
      </c>
      <c r="E467" s="295">
        <f>+'7.  Persistence Report'!AU156</f>
        <v>358215.1422</v>
      </c>
      <c r="F467" s="295">
        <f>+'7.  Persistence Report'!AV156</f>
        <v>358215.1422</v>
      </c>
      <c r="G467" s="295">
        <f>+'7.  Persistence Report'!AW156</f>
        <v>358215.1422</v>
      </c>
      <c r="H467" s="295">
        <f>+'7.  Persistence Report'!AX156</f>
        <v>356055.1422</v>
      </c>
      <c r="I467" s="295">
        <f>+'7.  Persistence Report'!AY156</f>
        <v>356055.1422</v>
      </c>
      <c r="J467" s="295">
        <f>+'7.  Persistence Report'!AZ156</f>
        <v>356055.1422</v>
      </c>
      <c r="K467" s="295">
        <f>+'7.  Persistence Report'!BA156</f>
        <v>356055.1422</v>
      </c>
      <c r="L467" s="295">
        <f>+'7.  Persistence Report'!BB156</f>
        <v>356055.1422</v>
      </c>
      <c r="M467" s="295">
        <f>+'7.  Persistence Report'!BC156</f>
        <v>356055.1422</v>
      </c>
      <c r="N467" s="295">
        <v>12</v>
      </c>
      <c r="O467" s="295">
        <f>+'7.  Persistence Report'!O156</f>
        <v>124.35728760000001</v>
      </c>
      <c r="P467" s="295">
        <f>+'7.  Persistence Report'!P156</f>
        <v>124.35728760000001</v>
      </c>
      <c r="Q467" s="295">
        <f>+'7.  Persistence Report'!Q156</f>
        <v>124.35728760000001</v>
      </c>
      <c r="R467" s="295">
        <f>+'7.  Persistence Report'!R156</f>
        <v>124.35728760000001</v>
      </c>
      <c r="S467" s="295">
        <f>+'7.  Persistence Report'!S156</f>
        <v>124.1298513</v>
      </c>
      <c r="T467" s="295">
        <f>+'7.  Persistence Report'!T156</f>
        <v>124.1298513</v>
      </c>
      <c r="U467" s="295">
        <f>+'7.  Persistence Report'!U156</f>
        <v>124.1298513</v>
      </c>
      <c r="V467" s="295">
        <f>+'7.  Persistence Report'!V156</f>
        <v>124.1298513</v>
      </c>
      <c r="W467" s="295">
        <f>+'7.  Persistence Report'!W156</f>
        <v>124.1298513</v>
      </c>
      <c r="X467" s="295">
        <f>+'7.  Persistence Report'!X156</f>
        <v>124.1298513</v>
      </c>
      <c r="Y467" s="772"/>
      <c r="Z467" s="826">
        <v>0</v>
      </c>
      <c r="AA467" s="826">
        <v>1</v>
      </c>
      <c r="AB467" s="414"/>
      <c r="AC467" s="414"/>
      <c r="AD467" s="414"/>
      <c r="AE467" s="414"/>
      <c r="AF467" s="414"/>
      <c r="AG467" s="414"/>
      <c r="AH467" s="414"/>
      <c r="AI467" s="414"/>
      <c r="AJ467" s="414"/>
      <c r="AK467" s="414"/>
      <c r="AL467" s="414"/>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76">
        <f>Y467</f>
        <v>0</v>
      </c>
      <c r="Z468" s="776">
        <f>Z467</f>
        <v>0</v>
      </c>
      <c r="AA468" s="776">
        <f t="shared" ref="AA468" si="231">AA467</f>
        <v>1</v>
      </c>
      <c r="AB468" s="410">
        <f t="shared" ref="AB468:AL468" si="232">AB467</f>
        <v>0</v>
      </c>
      <c r="AC468" s="410">
        <f t="shared" si="232"/>
        <v>0</v>
      </c>
      <c r="AD468" s="410">
        <f t="shared" si="232"/>
        <v>0</v>
      </c>
      <c r="AE468" s="410">
        <f t="shared" si="232"/>
        <v>0</v>
      </c>
      <c r="AF468" s="410">
        <f t="shared" si="232"/>
        <v>0</v>
      </c>
      <c r="AG468" s="410">
        <f t="shared" si="232"/>
        <v>0</v>
      </c>
      <c r="AH468" s="410">
        <f t="shared" si="232"/>
        <v>0</v>
      </c>
      <c r="AI468" s="410">
        <f t="shared" si="232"/>
        <v>0</v>
      </c>
      <c r="AJ468" s="410">
        <f t="shared" si="232"/>
        <v>0</v>
      </c>
      <c r="AK468" s="410">
        <f t="shared" si="232"/>
        <v>0</v>
      </c>
      <c r="AL468" s="410">
        <f t="shared" si="232"/>
        <v>0</v>
      </c>
      <c r="AM468" s="306"/>
    </row>
    <row r="469" spans="1:39" ht="15" outlineLevel="1">
      <c r="B469" s="315"/>
      <c r="C469" s="305"/>
      <c r="D469" s="758"/>
      <c r="E469" s="758"/>
      <c r="F469" s="758"/>
      <c r="G469" s="758"/>
      <c r="H469" s="758"/>
      <c r="I469" s="758"/>
      <c r="J469" s="758"/>
      <c r="K469" s="758"/>
      <c r="L469" s="758"/>
      <c r="M469" s="758"/>
      <c r="N469" s="816"/>
      <c r="O469" s="758"/>
      <c r="P469" s="758"/>
      <c r="Q469" s="758"/>
      <c r="R469" s="758"/>
      <c r="S469" s="758"/>
      <c r="T469" s="758"/>
      <c r="U469" s="758"/>
      <c r="V469" s="758"/>
      <c r="W469" s="758"/>
      <c r="X469" s="758"/>
      <c r="Y469" s="777"/>
      <c r="Z469" s="777"/>
      <c r="AA469" s="777"/>
      <c r="AB469" s="411"/>
      <c r="AC469" s="411"/>
      <c r="AD469" s="411"/>
      <c r="AE469" s="411"/>
      <c r="AF469" s="411"/>
      <c r="AG469" s="411"/>
      <c r="AH469" s="411"/>
      <c r="AI469" s="411"/>
      <c r="AJ469" s="411"/>
      <c r="AK469" s="411"/>
      <c r="AL469" s="411"/>
      <c r="AM469" s="306"/>
    </row>
    <row r="470" spans="1:39" ht="15" outlineLevel="1">
      <c r="A470" s="504">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72"/>
      <c r="Z470" s="773"/>
      <c r="AA470" s="773"/>
      <c r="AB470" s="414"/>
      <c r="AC470" s="414"/>
      <c r="AD470" s="414"/>
      <c r="AE470" s="414"/>
      <c r="AF470" s="414"/>
      <c r="AG470" s="414"/>
      <c r="AH470" s="414"/>
      <c r="AI470" s="414"/>
      <c r="AJ470" s="414"/>
      <c r="AK470" s="414"/>
      <c r="AL470" s="414"/>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76">
        <f>Y470</f>
        <v>0</v>
      </c>
      <c r="Z471" s="776">
        <f>Z470</f>
        <v>0</v>
      </c>
      <c r="AA471" s="776">
        <f t="shared" ref="AA471" si="233">AA470</f>
        <v>0</v>
      </c>
      <c r="AB471" s="410">
        <f t="shared" ref="AB471:AL471" si="234">AB470</f>
        <v>0</v>
      </c>
      <c r="AC471" s="410">
        <f t="shared" si="234"/>
        <v>0</v>
      </c>
      <c r="AD471" s="410">
        <f t="shared" si="234"/>
        <v>0</v>
      </c>
      <c r="AE471" s="410">
        <f t="shared" si="234"/>
        <v>0</v>
      </c>
      <c r="AF471" s="410">
        <f t="shared" si="234"/>
        <v>0</v>
      </c>
      <c r="AG471" s="410">
        <f t="shared" si="234"/>
        <v>0</v>
      </c>
      <c r="AH471" s="410">
        <f t="shared" si="234"/>
        <v>0</v>
      </c>
      <c r="AI471" s="410">
        <f t="shared" si="234"/>
        <v>0</v>
      </c>
      <c r="AJ471" s="410">
        <f t="shared" si="234"/>
        <v>0</v>
      </c>
      <c r="AK471" s="410">
        <f t="shared" si="234"/>
        <v>0</v>
      </c>
      <c r="AL471" s="410">
        <f t="shared" si="234"/>
        <v>0</v>
      </c>
      <c r="AM471" s="297"/>
    </row>
    <row r="472" spans="1:39" ht="15" outlineLevel="1">
      <c r="B472" s="315"/>
      <c r="C472" s="305"/>
      <c r="D472" s="758"/>
      <c r="E472" s="758"/>
      <c r="F472" s="758"/>
      <c r="G472" s="758"/>
      <c r="H472" s="758"/>
      <c r="I472" s="758"/>
      <c r="J472" s="758"/>
      <c r="K472" s="758"/>
      <c r="L472" s="758"/>
      <c r="M472" s="758"/>
      <c r="N472" s="758"/>
      <c r="O472" s="758"/>
      <c r="P472" s="758"/>
      <c r="Q472" s="758"/>
      <c r="R472" s="758"/>
      <c r="S472" s="758"/>
      <c r="T472" s="758"/>
      <c r="U472" s="758"/>
      <c r="V472" s="758"/>
      <c r="W472" s="758"/>
      <c r="X472" s="758"/>
      <c r="Y472" s="815"/>
      <c r="Z472" s="777"/>
      <c r="AA472" s="777"/>
      <c r="AB472" s="411"/>
      <c r="AC472" s="411"/>
      <c r="AD472" s="411"/>
      <c r="AE472" s="411"/>
      <c r="AF472" s="411"/>
      <c r="AG472" s="411"/>
      <c r="AH472" s="411"/>
      <c r="AI472" s="411"/>
      <c r="AJ472" s="411"/>
      <c r="AK472" s="411"/>
      <c r="AL472" s="411"/>
      <c r="AM472" s="306"/>
    </row>
    <row r="473" spans="1:39" ht="15" outlineLevel="1">
      <c r="A473" s="504">
        <v>22</v>
      </c>
      <c r="B473" s="315" t="s">
        <v>9</v>
      </c>
      <c r="C473" s="291" t="s">
        <v>25</v>
      </c>
      <c r="D473" s="295">
        <f>+'7.  Persistence Report'!AT151+'7.  Persistence Report'!AT155</f>
        <v>0</v>
      </c>
      <c r="E473" s="295">
        <f>+'7.  Persistence Report'!AU151+'7.  Persistence Report'!AU155</f>
        <v>0</v>
      </c>
      <c r="F473" s="295">
        <f>+'7.  Persistence Report'!AV151+'7.  Persistence Report'!AV155</f>
        <v>0</v>
      </c>
      <c r="G473" s="295">
        <f>+'7.  Persistence Report'!AW151+'7.  Persistence Report'!AW155</f>
        <v>0</v>
      </c>
      <c r="H473" s="295">
        <f>+'7.  Persistence Report'!AX151+'7.  Persistence Report'!AX155</f>
        <v>0</v>
      </c>
      <c r="I473" s="295">
        <f>+'7.  Persistence Report'!AY151+'7.  Persistence Report'!AY155</f>
        <v>0</v>
      </c>
      <c r="J473" s="295">
        <f>+'7.  Persistence Report'!AZ151+'7.  Persistence Report'!AZ155</f>
        <v>0</v>
      </c>
      <c r="K473" s="295">
        <f>+'7.  Persistence Report'!BA151+'7.  Persistence Report'!BA155</f>
        <v>0</v>
      </c>
      <c r="L473" s="295">
        <f>+'7.  Persistence Report'!BB151+'7.  Persistence Report'!BB155</f>
        <v>0</v>
      </c>
      <c r="M473" s="295">
        <f>+'7.  Persistence Report'!BC151+'7.  Persistence Report'!BC155</f>
        <v>0</v>
      </c>
      <c r="N473" s="758"/>
      <c r="O473" s="295">
        <f>+'7.  Persistence Report'!O151+'7.  Persistence Report'!O155</f>
        <v>5321.3076700000001</v>
      </c>
      <c r="P473" s="295">
        <f>+'7.  Persistence Report'!P151+'7.  Persistence Report'!P155</f>
        <v>0</v>
      </c>
      <c r="Q473" s="295">
        <f>+'7.  Persistence Report'!Q151+'7.  Persistence Report'!Q155</f>
        <v>0</v>
      </c>
      <c r="R473" s="295">
        <f>+'7.  Persistence Report'!R151+'7.  Persistence Report'!R155</f>
        <v>0</v>
      </c>
      <c r="S473" s="295">
        <f>+'7.  Persistence Report'!S151+'7.  Persistence Report'!S155</f>
        <v>0</v>
      </c>
      <c r="T473" s="295">
        <f>+'7.  Persistence Report'!T151+'7.  Persistence Report'!T155</f>
        <v>0</v>
      </c>
      <c r="U473" s="295">
        <f>+'7.  Persistence Report'!U151+'7.  Persistence Report'!U155</f>
        <v>0</v>
      </c>
      <c r="V473" s="295">
        <f>+'7.  Persistence Report'!V151+'7.  Persistence Report'!V155</f>
        <v>0</v>
      </c>
      <c r="W473" s="295">
        <f>+'7.  Persistence Report'!W151+'7.  Persistence Report'!W155</f>
        <v>0</v>
      </c>
      <c r="X473" s="295">
        <f>+'7.  Persistence Report'!X151+'7.  Persistence Report'!X155</f>
        <v>0</v>
      </c>
      <c r="Y473" s="772"/>
      <c r="Z473" s="773">
        <v>0</v>
      </c>
      <c r="AA473" s="773">
        <v>1</v>
      </c>
      <c r="AB473" s="414"/>
      <c r="AC473" s="414"/>
      <c r="AD473" s="414"/>
      <c r="AE473" s="414"/>
      <c r="AF473" s="414"/>
      <c r="AG473" s="414"/>
      <c r="AH473" s="414"/>
      <c r="AI473" s="414"/>
      <c r="AJ473" s="414"/>
      <c r="AK473" s="414"/>
      <c r="AL473" s="414"/>
      <c r="AM473" s="296">
        <f>SUM(Y473:AL473)</f>
        <v>1</v>
      </c>
    </row>
    <row r="474" spans="1:39" ht="15" outlineLevel="1">
      <c r="B474" s="294" t="s">
        <v>259</v>
      </c>
      <c r="C474" s="291" t="s">
        <v>163</v>
      </c>
      <c r="D474" s="295"/>
      <c r="E474" s="295"/>
      <c r="F474" s="295"/>
      <c r="G474" s="295"/>
      <c r="H474" s="295"/>
      <c r="I474" s="295"/>
      <c r="J474" s="295"/>
      <c r="K474" s="295"/>
      <c r="L474" s="295"/>
      <c r="M474" s="295"/>
      <c r="N474" s="758"/>
      <c r="O474" s="295"/>
      <c r="P474" s="295"/>
      <c r="Q474" s="295"/>
      <c r="R474" s="295"/>
      <c r="S474" s="295"/>
      <c r="T474" s="295"/>
      <c r="U474" s="295"/>
      <c r="V474" s="295"/>
      <c r="W474" s="295"/>
      <c r="X474" s="295"/>
      <c r="Y474" s="776">
        <f>Y473</f>
        <v>0</v>
      </c>
      <c r="Z474" s="776">
        <f>Z473</f>
        <v>0</v>
      </c>
      <c r="AA474" s="776">
        <f t="shared" ref="AA474" si="235">AA473</f>
        <v>1</v>
      </c>
      <c r="AB474" s="410">
        <f t="shared" ref="AB474:AL474" si="236">AB473</f>
        <v>0</v>
      </c>
      <c r="AC474" s="410">
        <f t="shared" si="236"/>
        <v>0</v>
      </c>
      <c r="AD474" s="410">
        <f t="shared" si="236"/>
        <v>0</v>
      </c>
      <c r="AE474" s="410">
        <f t="shared" si="236"/>
        <v>0</v>
      </c>
      <c r="AF474" s="410">
        <f t="shared" si="236"/>
        <v>0</v>
      </c>
      <c r="AG474" s="410">
        <f t="shared" si="236"/>
        <v>0</v>
      </c>
      <c r="AH474" s="410">
        <f t="shared" si="236"/>
        <v>0</v>
      </c>
      <c r="AI474" s="410">
        <f t="shared" si="236"/>
        <v>0</v>
      </c>
      <c r="AJ474" s="410">
        <f t="shared" si="236"/>
        <v>0</v>
      </c>
      <c r="AK474" s="410">
        <f t="shared" si="236"/>
        <v>0</v>
      </c>
      <c r="AL474" s="410">
        <f t="shared" si="236"/>
        <v>0</v>
      </c>
      <c r="AM474" s="306"/>
    </row>
    <row r="475" spans="1:39" ht="15" outlineLevel="1">
      <c r="B475" s="315"/>
      <c r="C475" s="305"/>
      <c r="D475" s="758"/>
      <c r="E475" s="758"/>
      <c r="F475" s="758"/>
      <c r="G475" s="758"/>
      <c r="H475" s="758"/>
      <c r="I475" s="758"/>
      <c r="J475" s="758"/>
      <c r="K475" s="758"/>
      <c r="L475" s="758"/>
      <c r="M475" s="758"/>
      <c r="N475" s="758"/>
      <c r="O475" s="758"/>
      <c r="P475" s="758"/>
      <c r="Q475" s="758"/>
      <c r="R475" s="758"/>
      <c r="S475" s="758"/>
      <c r="T475" s="758"/>
      <c r="U475" s="758"/>
      <c r="V475" s="758"/>
      <c r="W475" s="758"/>
      <c r="X475" s="758"/>
      <c r="Y475" s="777"/>
      <c r="Z475" s="777"/>
      <c r="AA475" s="777"/>
      <c r="AB475" s="411"/>
      <c r="AC475" s="411"/>
      <c r="AD475" s="411"/>
      <c r="AE475" s="411"/>
      <c r="AF475" s="411"/>
      <c r="AG475" s="411"/>
      <c r="AH475" s="411"/>
      <c r="AI475" s="411"/>
      <c r="AJ475" s="411"/>
      <c r="AK475" s="411"/>
      <c r="AL475" s="411"/>
      <c r="AM475" s="306"/>
    </row>
    <row r="476" spans="1:39" ht="15.75" outlineLevel="1">
      <c r="A476" s="505"/>
      <c r="B476" s="288" t="s">
        <v>14</v>
      </c>
      <c r="C476" s="289"/>
      <c r="D476" s="763"/>
      <c r="E476" s="763"/>
      <c r="F476" s="763"/>
      <c r="G476" s="763"/>
      <c r="H476" s="763"/>
      <c r="I476" s="763"/>
      <c r="J476" s="763"/>
      <c r="K476" s="763"/>
      <c r="L476" s="763"/>
      <c r="M476" s="763"/>
      <c r="N476" s="763"/>
      <c r="O476" s="763"/>
      <c r="P476" s="762"/>
      <c r="Q476" s="762"/>
      <c r="R476" s="762"/>
      <c r="S476" s="762"/>
      <c r="T476" s="762"/>
      <c r="U476" s="762"/>
      <c r="V476" s="762"/>
      <c r="W476" s="762"/>
      <c r="X476" s="762"/>
      <c r="Y476" s="811"/>
      <c r="Z476" s="811"/>
      <c r="AA476" s="811"/>
      <c r="AB476" s="413"/>
      <c r="AC476" s="413"/>
      <c r="AD476" s="413"/>
      <c r="AE476" s="413"/>
      <c r="AF476" s="413"/>
      <c r="AG476" s="413"/>
      <c r="AH476" s="413"/>
      <c r="AI476" s="413"/>
      <c r="AJ476" s="413"/>
      <c r="AK476" s="413"/>
      <c r="AL476" s="413"/>
      <c r="AM476" s="292"/>
    </row>
    <row r="477" spans="1:39" ht="15" outlineLevel="1">
      <c r="A477" s="504">
        <v>23</v>
      </c>
      <c r="B477" s="315" t="s">
        <v>14</v>
      </c>
      <c r="C477" s="291" t="s">
        <v>25</v>
      </c>
      <c r="D477" s="295">
        <f>+'7.  Persistence Report'!AT145</f>
        <v>374684.2892</v>
      </c>
      <c r="E477" s="295">
        <f>+'7.  Persistence Report'!AU145</f>
        <v>374563.71889999998</v>
      </c>
      <c r="F477" s="295">
        <f>+'7.  Persistence Report'!AV145</f>
        <v>323779.50589999999</v>
      </c>
      <c r="G477" s="295">
        <f>+'7.  Persistence Report'!AW145</f>
        <v>298869.68339999998</v>
      </c>
      <c r="H477" s="295">
        <f>+'7.  Persistence Report'!AX145</f>
        <v>273672.40519999998</v>
      </c>
      <c r="I477" s="295">
        <f>+'7.  Persistence Report'!AY145</f>
        <v>273672.40519999998</v>
      </c>
      <c r="J477" s="295">
        <f>+'7.  Persistence Report'!AZ145</f>
        <v>268639.20390000002</v>
      </c>
      <c r="K477" s="295">
        <f>+'7.  Persistence Report'!BA145</f>
        <v>268378.5257</v>
      </c>
      <c r="L477" s="295">
        <f>+'7.  Persistence Report'!BB145</f>
        <v>77020.036980000004</v>
      </c>
      <c r="M477" s="295">
        <f>+'7.  Persistence Report'!BC145</f>
        <v>76825.036980000004</v>
      </c>
      <c r="N477" s="758"/>
      <c r="O477" s="295">
        <f>+'7.  Persistence Report'!O145</f>
        <v>36.638531260000001</v>
      </c>
      <c r="P477" s="295">
        <f>+'7.  Persistence Report'!P145</f>
        <v>36.632339809999998</v>
      </c>
      <c r="Q477" s="295">
        <f>+'7.  Persistence Report'!Q145</f>
        <v>33.983522219999998</v>
      </c>
      <c r="R477" s="295">
        <f>+'7.  Persistence Report'!R145</f>
        <v>32.683879060000002</v>
      </c>
      <c r="S477" s="295">
        <f>+'7.  Persistence Report'!S145</f>
        <v>31.373245199999996</v>
      </c>
      <c r="T477" s="295">
        <f>+'7.  Persistence Report'!T145</f>
        <v>31.373245199999996</v>
      </c>
      <c r="U477" s="295">
        <f>+'7.  Persistence Report'!U145</f>
        <v>31.1108762</v>
      </c>
      <c r="V477" s="295">
        <f>+'7.  Persistence Report'!V145</f>
        <v>31.1108762</v>
      </c>
      <c r="W477" s="295">
        <f>+'7.  Persistence Report'!W145</f>
        <v>21.129071190000001</v>
      </c>
      <c r="X477" s="295">
        <f>+'7.  Persistence Report'!X145</f>
        <v>20.92027118</v>
      </c>
      <c r="Y477" s="825">
        <v>1</v>
      </c>
      <c r="Z477" s="772"/>
      <c r="AA477" s="772"/>
      <c r="AB477" s="409"/>
      <c r="AC477" s="409"/>
      <c r="AD477" s="409"/>
      <c r="AE477" s="409"/>
      <c r="AF477" s="409"/>
      <c r="AG477" s="409"/>
      <c r="AH477" s="409"/>
      <c r="AI477" s="409"/>
      <c r="AJ477" s="409"/>
      <c r="AK477" s="409"/>
      <c r="AL477" s="409"/>
      <c r="AM477" s="296">
        <f>SUM(Y477:AL477)</f>
        <v>1</v>
      </c>
    </row>
    <row r="478" spans="1:39" ht="15" outlineLevel="1">
      <c r="B478" s="294" t="s">
        <v>259</v>
      </c>
      <c r="C478" s="291" t="s">
        <v>163</v>
      </c>
      <c r="D478" s="295"/>
      <c r="E478" s="295"/>
      <c r="F478" s="295"/>
      <c r="G478" s="295"/>
      <c r="H478" s="295"/>
      <c r="I478" s="295"/>
      <c r="J478" s="295"/>
      <c r="K478" s="295"/>
      <c r="L478" s="295"/>
      <c r="M478" s="295"/>
      <c r="N478" s="759"/>
      <c r="O478" s="295"/>
      <c r="P478" s="295"/>
      <c r="Q478" s="295"/>
      <c r="R478" s="295"/>
      <c r="S478" s="295"/>
      <c r="T478" s="295"/>
      <c r="U478" s="295"/>
      <c r="V478" s="295"/>
      <c r="W478" s="295"/>
      <c r="X478" s="295"/>
      <c r="Y478" s="776">
        <f>Y477</f>
        <v>1</v>
      </c>
      <c r="Z478" s="776">
        <f>Z477</f>
        <v>0</v>
      </c>
      <c r="AA478" s="776">
        <f t="shared" ref="AA478" si="237">AA477</f>
        <v>0</v>
      </c>
      <c r="AB478" s="410">
        <f t="shared" ref="AB478:AL478" si="238">AB477</f>
        <v>0</v>
      </c>
      <c r="AC478" s="410">
        <f t="shared" si="238"/>
        <v>0</v>
      </c>
      <c r="AD478" s="410">
        <f t="shared" si="238"/>
        <v>0</v>
      </c>
      <c r="AE478" s="410">
        <f t="shared" si="238"/>
        <v>0</v>
      </c>
      <c r="AF478" s="410">
        <f t="shared" si="238"/>
        <v>0</v>
      </c>
      <c r="AG478" s="410">
        <f t="shared" si="238"/>
        <v>0</v>
      </c>
      <c r="AH478" s="410">
        <f t="shared" si="238"/>
        <v>0</v>
      </c>
      <c r="AI478" s="410">
        <f t="shared" si="238"/>
        <v>0</v>
      </c>
      <c r="AJ478" s="410">
        <f t="shared" si="238"/>
        <v>0</v>
      </c>
      <c r="AK478" s="410">
        <f t="shared" si="238"/>
        <v>0</v>
      </c>
      <c r="AL478" s="410">
        <f t="shared" si="238"/>
        <v>0</v>
      </c>
      <c r="AM478" s="297"/>
    </row>
    <row r="479" spans="1:39" ht="15" outlineLevel="1">
      <c r="B479" s="315"/>
      <c r="C479" s="305"/>
      <c r="D479" s="758"/>
      <c r="E479" s="758"/>
      <c r="F479" s="758"/>
      <c r="G479" s="758"/>
      <c r="H479" s="758"/>
      <c r="I479" s="758"/>
      <c r="J479" s="758"/>
      <c r="K479" s="758"/>
      <c r="L479" s="758"/>
      <c r="M479" s="758"/>
      <c r="N479" s="758"/>
      <c r="O479" s="758"/>
      <c r="P479" s="758"/>
      <c r="Q479" s="758"/>
      <c r="R479" s="758"/>
      <c r="S479" s="758"/>
      <c r="T479" s="758"/>
      <c r="U479" s="758"/>
      <c r="V479" s="758"/>
      <c r="W479" s="758"/>
      <c r="X479" s="758"/>
      <c r="Y479" s="777"/>
      <c r="Z479" s="777"/>
      <c r="AA479" s="777"/>
      <c r="AB479" s="411"/>
      <c r="AC479" s="411"/>
      <c r="AD479" s="411"/>
      <c r="AE479" s="411"/>
      <c r="AF479" s="411"/>
      <c r="AG479" s="411"/>
      <c r="AH479" s="411"/>
      <c r="AI479" s="411"/>
      <c r="AJ479" s="411"/>
      <c r="AK479" s="411"/>
      <c r="AL479" s="411"/>
      <c r="AM479" s="306"/>
    </row>
    <row r="480" spans="1:39" s="293" customFormat="1" ht="15.75" outlineLevel="1">
      <c r="A480" s="505"/>
      <c r="B480" s="288" t="s">
        <v>488</v>
      </c>
      <c r="C480" s="289"/>
      <c r="D480" s="763"/>
      <c r="E480" s="763"/>
      <c r="F480" s="763"/>
      <c r="G480" s="763"/>
      <c r="H480" s="763"/>
      <c r="I480" s="763"/>
      <c r="J480" s="763"/>
      <c r="K480" s="763"/>
      <c r="L480" s="763"/>
      <c r="M480" s="763"/>
      <c r="N480" s="763"/>
      <c r="O480" s="763"/>
      <c r="P480" s="762"/>
      <c r="Q480" s="762"/>
      <c r="R480" s="762"/>
      <c r="S480" s="762"/>
      <c r="T480" s="762"/>
      <c r="U480" s="762"/>
      <c r="V480" s="762"/>
      <c r="W480" s="762"/>
      <c r="X480" s="762"/>
      <c r="Y480" s="811"/>
      <c r="Z480" s="811"/>
      <c r="AA480" s="811"/>
      <c r="AB480" s="413"/>
      <c r="AC480" s="413"/>
      <c r="AD480" s="413"/>
      <c r="AE480" s="413"/>
      <c r="AF480" s="413"/>
      <c r="AG480" s="413"/>
      <c r="AH480" s="413"/>
      <c r="AI480" s="413"/>
      <c r="AJ480" s="413"/>
      <c r="AK480" s="413"/>
      <c r="AL480" s="413"/>
      <c r="AM480" s="292"/>
    </row>
    <row r="481" spans="1:39" s="283" customFormat="1" ht="15" outlineLevel="1">
      <c r="A481" s="504">
        <v>24</v>
      </c>
      <c r="B481" s="315" t="s">
        <v>14</v>
      </c>
      <c r="C481" s="291" t="s">
        <v>25</v>
      </c>
      <c r="D481" s="295"/>
      <c r="E481" s="295"/>
      <c r="F481" s="295"/>
      <c r="G481" s="295"/>
      <c r="H481" s="295"/>
      <c r="I481" s="295"/>
      <c r="J481" s="295"/>
      <c r="K481" s="295"/>
      <c r="L481" s="295"/>
      <c r="M481" s="295"/>
      <c r="N481" s="758"/>
      <c r="O481" s="295"/>
      <c r="P481" s="295"/>
      <c r="Q481" s="295"/>
      <c r="R481" s="295"/>
      <c r="S481" s="295"/>
      <c r="T481" s="295"/>
      <c r="U481" s="295"/>
      <c r="V481" s="295"/>
      <c r="W481" s="295"/>
      <c r="X481" s="295"/>
      <c r="Y481" s="772"/>
      <c r="Z481" s="772"/>
      <c r="AA481" s="772"/>
      <c r="AB481" s="409"/>
      <c r="AC481" s="409"/>
      <c r="AD481" s="409"/>
      <c r="AE481" s="409"/>
      <c r="AF481" s="409"/>
      <c r="AG481" s="409"/>
      <c r="AH481" s="409"/>
      <c r="AI481" s="409"/>
      <c r="AJ481" s="409"/>
      <c r="AK481" s="409"/>
      <c r="AL481" s="409"/>
      <c r="AM481" s="296">
        <f>SUM(Y481:AL481)</f>
        <v>0</v>
      </c>
    </row>
    <row r="482" spans="1:39" s="283" customFormat="1" ht="15" outlineLevel="1">
      <c r="A482" s="504"/>
      <c r="B482" s="315" t="s">
        <v>259</v>
      </c>
      <c r="C482" s="291" t="s">
        <v>163</v>
      </c>
      <c r="D482" s="295"/>
      <c r="E482" s="295"/>
      <c r="F482" s="295"/>
      <c r="G482" s="295"/>
      <c r="H482" s="295"/>
      <c r="I482" s="295"/>
      <c r="J482" s="295"/>
      <c r="K482" s="295"/>
      <c r="L482" s="295"/>
      <c r="M482" s="295"/>
      <c r="N482" s="759"/>
      <c r="O482" s="295"/>
      <c r="P482" s="295"/>
      <c r="Q482" s="295"/>
      <c r="R482" s="295"/>
      <c r="S482" s="295"/>
      <c r="T482" s="295"/>
      <c r="U482" s="295"/>
      <c r="V482" s="295"/>
      <c r="W482" s="295"/>
      <c r="X482" s="295"/>
      <c r="Y482" s="776">
        <f>Y481</f>
        <v>0</v>
      </c>
      <c r="Z482" s="776">
        <f>Z481</f>
        <v>0</v>
      </c>
      <c r="AA482" s="776">
        <f t="shared" ref="AA482" si="239">AA481</f>
        <v>0</v>
      </c>
      <c r="AB482" s="410">
        <f t="shared" ref="AB482:AL482" si="240">AB481</f>
        <v>0</v>
      </c>
      <c r="AC482" s="410">
        <f t="shared" si="240"/>
        <v>0</v>
      </c>
      <c r="AD482" s="410">
        <f t="shared" si="240"/>
        <v>0</v>
      </c>
      <c r="AE482" s="410">
        <f t="shared" si="240"/>
        <v>0</v>
      </c>
      <c r="AF482" s="410">
        <f t="shared" si="240"/>
        <v>0</v>
      </c>
      <c r="AG482" s="410">
        <f t="shared" si="240"/>
        <v>0</v>
      </c>
      <c r="AH482" s="410">
        <f t="shared" si="240"/>
        <v>0</v>
      </c>
      <c r="AI482" s="410">
        <f t="shared" si="240"/>
        <v>0</v>
      </c>
      <c r="AJ482" s="410">
        <f t="shared" si="240"/>
        <v>0</v>
      </c>
      <c r="AK482" s="410">
        <f t="shared" si="240"/>
        <v>0</v>
      </c>
      <c r="AL482" s="410">
        <f t="shared" si="240"/>
        <v>0</v>
      </c>
      <c r="AM482" s="297"/>
    </row>
    <row r="483" spans="1:39" s="283" customFormat="1" ht="15" outlineLevel="1">
      <c r="A483" s="504"/>
      <c r="B483" s="315"/>
      <c r="C483" s="305"/>
      <c r="D483" s="758"/>
      <c r="E483" s="758"/>
      <c r="F483" s="758"/>
      <c r="G483" s="758"/>
      <c r="H483" s="758"/>
      <c r="I483" s="758"/>
      <c r="J483" s="758"/>
      <c r="K483" s="758"/>
      <c r="L483" s="758"/>
      <c r="M483" s="758"/>
      <c r="N483" s="758"/>
      <c r="O483" s="758"/>
      <c r="P483" s="758"/>
      <c r="Q483" s="758"/>
      <c r="R483" s="758"/>
      <c r="S483" s="758"/>
      <c r="T483" s="758"/>
      <c r="U483" s="758"/>
      <c r="V483" s="758"/>
      <c r="W483" s="758"/>
      <c r="X483" s="758"/>
      <c r="Y483" s="777"/>
      <c r="Z483" s="777"/>
      <c r="AA483" s="777"/>
      <c r="AB483" s="411"/>
      <c r="AC483" s="411"/>
      <c r="AD483" s="411"/>
      <c r="AE483" s="411"/>
      <c r="AF483" s="411"/>
      <c r="AG483" s="411"/>
      <c r="AH483" s="411"/>
      <c r="AI483" s="411"/>
      <c r="AJ483" s="411"/>
      <c r="AK483" s="411"/>
      <c r="AL483" s="411"/>
      <c r="AM483" s="306"/>
    </row>
    <row r="484" spans="1:39" s="283" customFormat="1" ht="15" outlineLevel="1">
      <c r="A484" s="504">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773"/>
      <c r="Z484" s="773"/>
      <c r="AA484" s="773"/>
      <c r="AB484" s="414"/>
      <c r="AC484" s="414"/>
      <c r="AD484" s="414"/>
      <c r="AE484" s="414"/>
      <c r="AF484" s="414"/>
      <c r="AG484" s="414"/>
      <c r="AH484" s="414"/>
      <c r="AI484" s="414"/>
      <c r="AJ484" s="414"/>
      <c r="AK484" s="414"/>
      <c r="AL484" s="414"/>
      <c r="AM484" s="296">
        <f>SUM(Y484:AL484)</f>
        <v>0</v>
      </c>
    </row>
    <row r="485" spans="1:39" s="283" customFormat="1" ht="15" outlineLevel="1">
      <c r="A485" s="504"/>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76">
        <f>Y484</f>
        <v>0</v>
      </c>
      <c r="Z485" s="776">
        <f>Z484</f>
        <v>0</v>
      </c>
      <c r="AA485" s="776">
        <f t="shared" ref="AA485" si="241">AA484</f>
        <v>0</v>
      </c>
      <c r="AB485" s="410">
        <f t="shared" ref="AB485:AL485" si="242">AB484</f>
        <v>0</v>
      </c>
      <c r="AC485" s="410">
        <f t="shared" si="242"/>
        <v>0</v>
      </c>
      <c r="AD485" s="410">
        <f t="shared" si="242"/>
        <v>0</v>
      </c>
      <c r="AE485" s="410">
        <f t="shared" si="242"/>
        <v>0</v>
      </c>
      <c r="AF485" s="410">
        <f t="shared" si="242"/>
        <v>0</v>
      </c>
      <c r="AG485" s="410">
        <f t="shared" si="242"/>
        <v>0</v>
      </c>
      <c r="AH485" s="410">
        <f t="shared" si="242"/>
        <v>0</v>
      </c>
      <c r="AI485" s="410">
        <f t="shared" si="242"/>
        <v>0</v>
      </c>
      <c r="AJ485" s="410">
        <f t="shared" si="242"/>
        <v>0</v>
      </c>
      <c r="AK485" s="410">
        <f t="shared" si="242"/>
        <v>0</v>
      </c>
      <c r="AL485" s="410">
        <f t="shared" si="242"/>
        <v>0</v>
      </c>
      <c r="AM485" s="311"/>
    </row>
    <row r="486" spans="1:39" s="283" customFormat="1" ht="15" outlineLevel="1">
      <c r="A486" s="504"/>
      <c r="B486" s="314"/>
      <c r="C486" s="312"/>
      <c r="D486" s="758"/>
      <c r="E486" s="758"/>
      <c r="F486" s="758"/>
      <c r="G486" s="758"/>
      <c r="H486" s="758"/>
      <c r="I486" s="758"/>
      <c r="J486" s="758"/>
      <c r="K486" s="758"/>
      <c r="L486" s="758"/>
      <c r="M486" s="758"/>
      <c r="N486" s="758"/>
      <c r="O486" s="758"/>
      <c r="P486" s="758"/>
      <c r="Q486" s="758"/>
      <c r="R486" s="758"/>
      <c r="S486" s="758"/>
      <c r="T486" s="758"/>
      <c r="U486" s="758"/>
      <c r="V486" s="758"/>
      <c r="W486" s="758"/>
      <c r="X486" s="758"/>
      <c r="Y486" s="812"/>
      <c r="Z486" s="818"/>
      <c r="AA486" s="812"/>
      <c r="AB486" s="415"/>
      <c r="AC486" s="415"/>
      <c r="AD486" s="415"/>
      <c r="AE486" s="415"/>
      <c r="AF486" s="415"/>
      <c r="AG486" s="415"/>
      <c r="AH486" s="415"/>
      <c r="AI486" s="415"/>
      <c r="AJ486" s="415"/>
      <c r="AK486" s="415"/>
      <c r="AL486" s="415"/>
      <c r="AM486" s="313"/>
    </row>
    <row r="487" spans="1:39" ht="15.75" outlineLevel="1">
      <c r="A487" s="505"/>
      <c r="B487" s="288" t="s">
        <v>15</v>
      </c>
      <c r="C487" s="319"/>
      <c r="D487" s="763"/>
      <c r="E487" s="762"/>
      <c r="F487" s="762"/>
      <c r="G487" s="762"/>
      <c r="H487" s="762"/>
      <c r="I487" s="762"/>
      <c r="J487" s="762"/>
      <c r="K487" s="762"/>
      <c r="L487" s="762"/>
      <c r="M487" s="762"/>
      <c r="N487" s="758"/>
      <c r="O487" s="762"/>
      <c r="P487" s="762"/>
      <c r="Q487" s="762"/>
      <c r="R487" s="762"/>
      <c r="S487" s="762"/>
      <c r="T487" s="762"/>
      <c r="U487" s="762"/>
      <c r="V487" s="762"/>
      <c r="W487" s="762"/>
      <c r="X487" s="762"/>
      <c r="Y487" s="811"/>
      <c r="Z487" s="811"/>
      <c r="AA487" s="811"/>
      <c r="AB487" s="413"/>
      <c r="AC487" s="413"/>
      <c r="AD487" s="413"/>
      <c r="AE487" s="413"/>
      <c r="AF487" s="413"/>
      <c r="AG487" s="413"/>
      <c r="AH487" s="413"/>
      <c r="AI487" s="413"/>
      <c r="AJ487" s="413"/>
      <c r="AK487" s="413"/>
      <c r="AL487" s="413"/>
      <c r="AM487" s="292"/>
    </row>
    <row r="488" spans="1:39" ht="15" outlineLevel="1">
      <c r="A488" s="504">
        <v>26</v>
      </c>
      <c r="B488" s="320"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71"/>
      <c r="Z488" s="773"/>
      <c r="AA488" s="773"/>
      <c r="AB488" s="414"/>
      <c r="AC488" s="414"/>
      <c r="AD488" s="414"/>
      <c r="AE488" s="414"/>
      <c r="AF488" s="414"/>
      <c r="AG488" s="414"/>
      <c r="AH488" s="414"/>
      <c r="AI488" s="414"/>
      <c r="AJ488" s="414"/>
      <c r="AK488" s="414"/>
      <c r="AL488" s="414"/>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76">
        <f>Y488</f>
        <v>0</v>
      </c>
      <c r="Z489" s="776">
        <f>Z488</f>
        <v>0</v>
      </c>
      <c r="AA489" s="776">
        <f t="shared" ref="AA489" si="243">AA488</f>
        <v>0</v>
      </c>
      <c r="AB489" s="410">
        <f t="shared" ref="AB489:AL489" si="244">AB488</f>
        <v>0</v>
      </c>
      <c r="AC489" s="410">
        <f t="shared" si="244"/>
        <v>0</v>
      </c>
      <c r="AD489" s="410">
        <f t="shared" si="244"/>
        <v>0</v>
      </c>
      <c r="AE489" s="410">
        <f t="shared" si="244"/>
        <v>0</v>
      </c>
      <c r="AF489" s="410">
        <f t="shared" si="244"/>
        <v>0</v>
      </c>
      <c r="AG489" s="410">
        <f t="shared" si="244"/>
        <v>0</v>
      </c>
      <c r="AH489" s="410">
        <f t="shared" si="244"/>
        <v>0</v>
      </c>
      <c r="AI489" s="410">
        <f t="shared" si="244"/>
        <v>0</v>
      </c>
      <c r="AJ489" s="410">
        <f t="shared" si="244"/>
        <v>0</v>
      </c>
      <c r="AK489" s="410">
        <f t="shared" si="244"/>
        <v>0</v>
      </c>
      <c r="AL489" s="410">
        <f t="shared" si="244"/>
        <v>0</v>
      </c>
      <c r="AM489" s="306"/>
    </row>
    <row r="490" spans="1:39" ht="15" outlineLevel="1">
      <c r="A490" s="507"/>
      <c r="B490" s="321"/>
      <c r="C490" s="291"/>
      <c r="D490" s="758"/>
      <c r="E490" s="758"/>
      <c r="F490" s="758"/>
      <c r="G490" s="758"/>
      <c r="H490" s="758"/>
      <c r="I490" s="758"/>
      <c r="J490" s="758"/>
      <c r="K490" s="758"/>
      <c r="L490" s="758"/>
      <c r="M490" s="758"/>
      <c r="N490" s="758"/>
      <c r="O490" s="758"/>
      <c r="P490" s="758"/>
      <c r="Q490" s="758"/>
      <c r="R490" s="758"/>
      <c r="S490" s="758"/>
      <c r="T490" s="758"/>
      <c r="U490" s="758"/>
      <c r="V490" s="758"/>
      <c r="W490" s="758"/>
      <c r="X490" s="758"/>
      <c r="Y490" s="817"/>
      <c r="Z490" s="819"/>
      <c r="AA490" s="819"/>
      <c r="AB490" s="421"/>
      <c r="AC490" s="421"/>
      <c r="AD490" s="421"/>
      <c r="AE490" s="421"/>
      <c r="AF490" s="421"/>
      <c r="AG490" s="421"/>
      <c r="AH490" s="421"/>
      <c r="AI490" s="421"/>
      <c r="AJ490" s="421"/>
      <c r="AK490" s="421"/>
      <c r="AL490" s="421"/>
      <c r="AM490" s="297"/>
    </row>
    <row r="491" spans="1:39" ht="15" outlineLevel="1">
      <c r="A491" s="504">
        <v>27</v>
      </c>
      <c r="B491" s="320"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71"/>
      <c r="Z491" s="773"/>
      <c r="AA491" s="773"/>
      <c r="AB491" s="414"/>
      <c r="AC491" s="414"/>
      <c r="AD491" s="414"/>
      <c r="AE491" s="414"/>
      <c r="AF491" s="414"/>
      <c r="AG491" s="414"/>
      <c r="AH491" s="414"/>
      <c r="AI491" s="414"/>
      <c r="AJ491" s="414"/>
      <c r="AK491" s="414"/>
      <c r="AL491" s="414"/>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76">
        <f>Y491</f>
        <v>0</v>
      </c>
      <c r="Z492" s="776">
        <f>Z491</f>
        <v>0</v>
      </c>
      <c r="AA492" s="776">
        <f t="shared" ref="AA492" si="245">AA491</f>
        <v>0</v>
      </c>
      <c r="AB492" s="410">
        <f t="shared" ref="AB492:AL492" si="246">AB491</f>
        <v>0</v>
      </c>
      <c r="AC492" s="410">
        <f t="shared" si="246"/>
        <v>0</v>
      </c>
      <c r="AD492" s="410">
        <f t="shared" si="246"/>
        <v>0</v>
      </c>
      <c r="AE492" s="410">
        <f t="shared" si="246"/>
        <v>0</v>
      </c>
      <c r="AF492" s="410">
        <f t="shared" si="246"/>
        <v>0</v>
      </c>
      <c r="AG492" s="410">
        <f t="shared" si="246"/>
        <v>0</v>
      </c>
      <c r="AH492" s="410">
        <f t="shared" si="246"/>
        <v>0</v>
      </c>
      <c r="AI492" s="410">
        <f t="shared" si="246"/>
        <v>0</v>
      </c>
      <c r="AJ492" s="410">
        <f t="shared" si="246"/>
        <v>0</v>
      </c>
      <c r="AK492" s="410">
        <f t="shared" si="246"/>
        <v>0</v>
      </c>
      <c r="AL492" s="410">
        <f t="shared" si="246"/>
        <v>0</v>
      </c>
      <c r="AM492" s="306"/>
    </row>
    <row r="493" spans="1:39" ht="15.75" outlineLevel="1">
      <c r="A493" s="507"/>
      <c r="B493" s="322"/>
      <c r="C493" s="300"/>
      <c r="D493" s="758"/>
      <c r="E493" s="758"/>
      <c r="F493" s="758"/>
      <c r="G493" s="758"/>
      <c r="H493" s="758"/>
      <c r="I493" s="758"/>
      <c r="J493" s="758"/>
      <c r="K493" s="758"/>
      <c r="L493" s="758"/>
      <c r="M493" s="758"/>
      <c r="N493" s="761"/>
      <c r="O493" s="758"/>
      <c r="P493" s="758"/>
      <c r="Q493" s="758"/>
      <c r="R493" s="758"/>
      <c r="S493" s="758"/>
      <c r="T493" s="758"/>
      <c r="U493" s="758"/>
      <c r="V493" s="758"/>
      <c r="W493" s="758"/>
      <c r="X493" s="758"/>
      <c r="Y493" s="777"/>
      <c r="Z493" s="777"/>
      <c r="AA493" s="777"/>
      <c r="AB493" s="411"/>
      <c r="AC493" s="411"/>
      <c r="AD493" s="411"/>
      <c r="AE493" s="411"/>
      <c r="AF493" s="411"/>
      <c r="AG493" s="411"/>
      <c r="AH493" s="411"/>
      <c r="AI493" s="411"/>
      <c r="AJ493" s="411"/>
      <c r="AK493" s="411"/>
      <c r="AL493" s="411"/>
      <c r="AM493" s="306"/>
    </row>
    <row r="494" spans="1:39" ht="15" outlineLevel="1">
      <c r="A494" s="504">
        <v>28</v>
      </c>
      <c r="B494" s="320"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71"/>
      <c r="Z494" s="773"/>
      <c r="AA494" s="773"/>
      <c r="AB494" s="414"/>
      <c r="AC494" s="414"/>
      <c r="AD494" s="414"/>
      <c r="AE494" s="414"/>
      <c r="AF494" s="414"/>
      <c r="AG494" s="414"/>
      <c r="AH494" s="414"/>
      <c r="AI494" s="414"/>
      <c r="AJ494" s="414"/>
      <c r="AK494" s="414"/>
      <c r="AL494" s="414"/>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76">
        <f>Y494</f>
        <v>0</v>
      </c>
      <c r="Z495" s="776">
        <f>Z494</f>
        <v>0</v>
      </c>
      <c r="AA495" s="776">
        <f t="shared" ref="AA495" si="247">AA494</f>
        <v>0</v>
      </c>
      <c r="AB495" s="410">
        <f t="shared" ref="AB495:AL495" si="248">AB494</f>
        <v>0</v>
      </c>
      <c r="AC495" s="410">
        <f t="shared" si="248"/>
        <v>0</v>
      </c>
      <c r="AD495" s="410">
        <f t="shared" si="248"/>
        <v>0</v>
      </c>
      <c r="AE495" s="410">
        <f t="shared" si="248"/>
        <v>0</v>
      </c>
      <c r="AF495" s="410">
        <f t="shared" si="248"/>
        <v>0</v>
      </c>
      <c r="AG495" s="410">
        <f t="shared" si="248"/>
        <v>0</v>
      </c>
      <c r="AH495" s="410">
        <f t="shared" si="248"/>
        <v>0</v>
      </c>
      <c r="AI495" s="410">
        <f t="shared" si="248"/>
        <v>0</v>
      </c>
      <c r="AJ495" s="410">
        <f t="shared" si="248"/>
        <v>0</v>
      </c>
      <c r="AK495" s="410">
        <f t="shared" si="248"/>
        <v>0</v>
      </c>
      <c r="AL495" s="410">
        <f t="shared" si="248"/>
        <v>0</v>
      </c>
      <c r="AM495" s="297"/>
    </row>
    <row r="496" spans="1:39" ht="15" outlineLevel="1">
      <c r="A496" s="507"/>
      <c r="B496" s="321"/>
      <c r="C496" s="291"/>
      <c r="D496" s="758"/>
      <c r="E496" s="758"/>
      <c r="F496" s="758"/>
      <c r="G496" s="758"/>
      <c r="H496" s="758"/>
      <c r="I496" s="758"/>
      <c r="J496" s="758"/>
      <c r="K496" s="758"/>
      <c r="L496" s="758"/>
      <c r="M496" s="758"/>
      <c r="N496" s="758"/>
      <c r="O496" s="758"/>
      <c r="P496" s="758"/>
      <c r="Q496" s="758"/>
      <c r="R496" s="758"/>
      <c r="S496" s="758"/>
      <c r="T496" s="758"/>
      <c r="U496" s="758"/>
      <c r="V496" s="758"/>
      <c r="W496" s="758"/>
      <c r="X496" s="758"/>
      <c r="Y496" s="777"/>
      <c r="Z496" s="777"/>
      <c r="AA496" s="777"/>
      <c r="AB496" s="411"/>
      <c r="AC496" s="411"/>
      <c r="AD496" s="411"/>
      <c r="AE496" s="411"/>
      <c r="AF496" s="411"/>
      <c r="AG496" s="411"/>
      <c r="AH496" s="411"/>
      <c r="AI496" s="411"/>
      <c r="AJ496" s="411"/>
      <c r="AK496" s="411"/>
      <c r="AL496" s="411"/>
      <c r="AM496" s="306"/>
    </row>
    <row r="497" spans="1:39" ht="15" outlineLevel="1">
      <c r="A497" s="504">
        <v>29</v>
      </c>
      <c r="B497" s="323"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71"/>
      <c r="Z497" s="773"/>
      <c r="AA497" s="773"/>
      <c r="AB497" s="414"/>
      <c r="AC497" s="414"/>
      <c r="AD497" s="414"/>
      <c r="AE497" s="414"/>
      <c r="AF497" s="414"/>
      <c r="AG497" s="414"/>
      <c r="AH497" s="414"/>
      <c r="AI497" s="414"/>
      <c r="AJ497" s="414"/>
      <c r="AK497" s="414"/>
      <c r="AL497" s="414"/>
      <c r="AM497" s="296">
        <f>SUM(Y497:AL497)</f>
        <v>0</v>
      </c>
    </row>
    <row r="498" spans="1:39" ht="15" outlineLevel="1">
      <c r="B498" s="323"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76">
        <f>Y497</f>
        <v>0</v>
      </c>
      <c r="Z498" s="776">
        <f t="shared" ref="Z498:AA498" si="249">Z497</f>
        <v>0</v>
      </c>
      <c r="AA498" s="776">
        <f t="shared" si="249"/>
        <v>0</v>
      </c>
      <c r="AB498" s="410">
        <f t="shared" ref="AB498:AL498" si="250">AB497</f>
        <v>0</v>
      </c>
      <c r="AC498" s="410">
        <f t="shared" si="250"/>
        <v>0</v>
      </c>
      <c r="AD498" s="410">
        <f t="shared" si="250"/>
        <v>0</v>
      </c>
      <c r="AE498" s="410">
        <f t="shared" si="250"/>
        <v>0</v>
      </c>
      <c r="AF498" s="410">
        <f t="shared" si="250"/>
        <v>0</v>
      </c>
      <c r="AG498" s="410">
        <f t="shared" si="250"/>
        <v>0</v>
      </c>
      <c r="AH498" s="410">
        <f t="shared" si="250"/>
        <v>0</v>
      </c>
      <c r="AI498" s="410">
        <f t="shared" si="250"/>
        <v>0</v>
      </c>
      <c r="AJ498" s="410">
        <f t="shared" si="250"/>
        <v>0</v>
      </c>
      <c r="AK498" s="410">
        <f t="shared" si="250"/>
        <v>0</v>
      </c>
      <c r="AL498" s="410">
        <f t="shared" si="250"/>
        <v>0</v>
      </c>
      <c r="AM498" s="297"/>
    </row>
    <row r="499" spans="1:39" ht="15" outlineLevel="1">
      <c r="B499" s="323"/>
      <c r="C499" s="291"/>
      <c r="D499" s="758"/>
      <c r="E499" s="758"/>
      <c r="F499" s="758"/>
      <c r="G499" s="758"/>
      <c r="H499" s="758"/>
      <c r="I499" s="758"/>
      <c r="J499" s="758"/>
      <c r="K499" s="758"/>
      <c r="L499" s="758"/>
      <c r="M499" s="758"/>
      <c r="N499" s="758"/>
      <c r="O499" s="758"/>
      <c r="P499" s="758"/>
      <c r="Q499" s="758"/>
      <c r="R499" s="758"/>
      <c r="S499" s="758"/>
      <c r="T499" s="758"/>
      <c r="U499" s="758"/>
      <c r="V499" s="758"/>
      <c r="W499" s="758"/>
      <c r="X499" s="758"/>
      <c r="Y499" s="817"/>
      <c r="Z499" s="817"/>
      <c r="AA499" s="817"/>
      <c r="AB499" s="420"/>
      <c r="AC499" s="420"/>
      <c r="AD499" s="420"/>
      <c r="AE499" s="420"/>
      <c r="AF499" s="420"/>
      <c r="AG499" s="420"/>
      <c r="AH499" s="420"/>
      <c r="AI499" s="420"/>
      <c r="AJ499" s="420"/>
      <c r="AK499" s="420"/>
      <c r="AL499" s="420"/>
      <c r="AM499" s="313"/>
    </row>
    <row r="500" spans="1:39" s="283" customFormat="1" ht="15" outlineLevel="1">
      <c r="A500" s="504">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72"/>
      <c r="Z500" s="772"/>
      <c r="AA500" s="772"/>
      <c r="AB500" s="409"/>
      <c r="AC500" s="409"/>
      <c r="AD500" s="409"/>
      <c r="AE500" s="409"/>
      <c r="AF500" s="409"/>
      <c r="AG500" s="409"/>
      <c r="AH500" s="409"/>
      <c r="AI500" s="409"/>
      <c r="AJ500" s="409"/>
      <c r="AK500" s="409"/>
      <c r="AL500" s="409"/>
      <c r="AM500" s="296">
        <f>SUM(Y500:AL500)</f>
        <v>0</v>
      </c>
    </row>
    <row r="501" spans="1:39" s="283" customFormat="1" ht="15" outlineLevel="1">
      <c r="A501" s="504"/>
      <c r="B501" s="323"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76">
        <f>Y500</f>
        <v>0</v>
      </c>
      <c r="Z501" s="776">
        <f t="shared" ref="Z501:AA501" si="251">Z500</f>
        <v>0</v>
      </c>
      <c r="AA501" s="776">
        <f t="shared" si="251"/>
        <v>0</v>
      </c>
      <c r="AB501" s="410">
        <f t="shared" ref="AB501:AL501" si="252">AB500</f>
        <v>0</v>
      </c>
      <c r="AC501" s="410">
        <f t="shared" si="252"/>
        <v>0</v>
      </c>
      <c r="AD501" s="410">
        <f t="shared" si="252"/>
        <v>0</v>
      </c>
      <c r="AE501" s="410">
        <f t="shared" si="252"/>
        <v>0</v>
      </c>
      <c r="AF501" s="410">
        <f t="shared" si="252"/>
        <v>0</v>
      </c>
      <c r="AG501" s="410">
        <f t="shared" si="252"/>
        <v>0</v>
      </c>
      <c r="AH501" s="410">
        <f t="shared" si="252"/>
        <v>0</v>
      </c>
      <c r="AI501" s="410">
        <f t="shared" si="252"/>
        <v>0</v>
      </c>
      <c r="AJ501" s="410">
        <f t="shared" si="252"/>
        <v>0</v>
      </c>
      <c r="AK501" s="410">
        <f t="shared" si="252"/>
        <v>0</v>
      </c>
      <c r="AL501" s="410">
        <f t="shared" si="252"/>
        <v>0</v>
      </c>
      <c r="AM501" s="297"/>
    </row>
    <row r="502" spans="1:39" s="283" customFormat="1" ht="15" outlineLevel="1">
      <c r="A502" s="504"/>
      <c r="B502" s="323"/>
      <c r="C502" s="291"/>
      <c r="D502" s="758"/>
      <c r="E502" s="758"/>
      <c r="F502" s="758"/>
      <c r="G502" s="758"/>
      <c r="H502" s="758"/>
      <c r="I502" s="758"/>
      <c r="J502" s="758"/>
      <c r="K502" s="758"/>
      <c r="L502" s="758"/>
      <c r="M502" s="758"/>
      <c r="N502" s="758"/>
      <c r="O502" s="758"/>
      <c r="P502" s="758"/>
      <c r="Q502" s="758"/>
      <c r="R502" s="758"/>
      <c r="S502" s="758"/>
      <c r="T502" s="758"/>
      <c r="U502" s="758"/>
      <c r="V502" s="758"/>
      <c r="W502" s="758"/>
      <c r="X502" s="758"/>
      <c r="Y502" s="777"/>
      <c r="Z502" s="777"/>
      <c r="AA502" s="777"/>
      <c r="AB502" s="411"/>
      <c r="AC502" s="411"/>
      <c r="AD502" s="411"/>
      <c r="AE502" s="411"/>
      <c r="AF502" s="411"/>
      <c r="AG502" s="411"/>
      <c r="AH502" s="411"/>
      <c r="AI502" s="411"/>
      <c r="AJ502" s="411"/>
      <c r="AK502" s="411"/>
      <c r="AL502" s="411"/>
      <c r="AM502" s="313"/>
    </row>
    <row r="503" spans="1:39" s="283" customFormat="1" ht="15.75" outlineLevel="1">
      <c r="A503" s="504"/>
      <c r="B503" s="288" t="s">
        <v>490</v>
      </c>
      <c r="C503" s="291"/>
      <c r="D503" s="758"/>
      <c r="E503" s="758"/>
      <c r="F503" s="758"/>
      <c r="G503" s="758"/>
      <c r="H503" s="758"/>
      <c r="I503" s="758"/>
      <c r="J503" s="758"/>
      <c r="K503" s="758"/>
      <c r="L503" s="758"/>
      <c r="M503" s="758"/>
      <c r="N503" s="758"/>
      <c r="O503" s="758"/>
      <c r="P503" s="758"/>
      <c r="Q503" s="758"/>
      <c r="R503" s="758"/>
      <c r="S503" s="758"/>
      <c r="T503" s="758"/>
      <c r="U503" s="758"/>
      <c r="V503" s="758"/>
      <c r="W503" s="758"/>
      <c r="X503" s="758"/>
      <c r="Y503" s="777"/>
      <c r="Z503" s="777"/>
      <c r="AA503" s="777"/>
      <c r="AB503" s="411"/>
      <c r="AC503" s="411"/>
      <c r="AD503" s="411"/>
      <c r="AE503" s="411"/>
      <c r="AF503" s="411"/>
      <c r="AG503" s="411"/>
      <c r="AH503" s="411"/>
      <c r="AI503" s="411"/>
      <c r="AJ503" s="411"/>
      <c r="AK503" s="411"/>
      <c r="AL503" s="411"/>
      <c r="AM503" s="313"/>
    </row>
    <row r="504" spans="1:39" s="283" customFormat="1" ht="15" outlineLevel="1">
      <c r="A504" s="504">
        <v>31</v>
      </c>
      <c r="B504" s="323"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772"/>
      <c r="Z504" s="772"/>
      <c r="AA504" s="772"/>
      <c r="AB504" s="409"/>
      <c r="AC504" s="409"/>
      <c r="AD504" s="409"/>
      <c r="AE504" s="409"/>
      <c r="AF504" s="409"/>
      <c r="AG504" s="409"/>
      <c r="AH504" s="409"/>
      <c r="AI504" s="409"/>
      <c r="AJ504" s="409"/>
      <c r="AK504" s="409"/>
      <c r="AL504" s="409"/>
      <c r="AM504" s="296">
        <f>SUM(Y504:AL504)</f>
        <v>0</v>
      </c>
    </row>
    <row r="505" spans="1:39" s="283" customFormat="1" ht="15" outlineLevel="1">
      <c r="A505" s="504"/>
      <c r="B505" s="323"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76">
        <f>Y504</f>
        <v>0</v>
      </c>
      <c r="Z505" s="776">
        <f t="shared" ref="Z505:AA505" si="253">Z504</f>
        <v>0</v>
      </c>
      <c r="AA505" s="776">
        <f t="shared" si="253"/>
        <v>0</v>
      </c>
      <c r="AB505" s="410">
        <f t="shared" ref="AB505:AL505" si="254">AB504</f>
        <v>0</v>
      </c>
      <c r="AC505" s="410">
        <f t="shared" si="254"/>
        <v>0</v>
      </c>
      <c r="AD505" s="410">
        <f t="shared" si="254"/>
        <v>0</v>
      </c>
      <c r="AE505" s="410">
        <f t="shared" si="254"/>
        <v>0</v>
      </c>
      <c r="AF505" s="410">
        <f t="shared" si="254"/>
        <v>0</v>
      </c>
      <c r="AG505" s="410">
        <f t="shared" si="254"/>
        <v>0</v>
      </c>
      <c r="AH505" s="410">
        <f t="shared" si="254"/>
        <v>0</v>
      </c>
      <c r="AI505" s="410">
        <f t="shared" si="254"/>
        <v>0</v>
      </c>
      <c r="AJ505" s="410">
        <f t="shared" si="254"/>
        <v>0</v>
      </c>
      <c r="AK505" s="410">
        <f t="shared" si="254"/>
        <v>0</v>
      </c>
      <c r="AL505" s="410">
        <f t="shared" si="254"/>
        <v>0</v>
      </c>
      <c r="AM505" s="297"/>
    </row>
    <row r="506" spans="1:39" s="283" customFormat="1" ht="15" outlineLevel="1">
      <c r="A506" s="504"/>
      <c r="B506" s="323"/>
      <c r="C506" s="291"/>
      <c r="D506" s="758"/>
      <c r="E506" s="758"/>
      <c r="F506" s="758"/>
      <c r="G506" s="758"/>
      <c r="H506" s="758"/>
      <c r="I506" s="758"/>
      <c r="J506" s="758"/>
      <c r="K506" s="758"/>
      <c r="L506" s="758"/>
      <c r="M506" s="758"/>
      <c r="N506" s="758"/>
      <c r="O506" s="758"/>
      <c r="P506" s="758"/>
      <c r="Q506" s="758"/>
      <c r="R506" s="758"/>
      <c r="S506" s="758"/>
      <c r="T506" s="758"/>
      <c r="U506" s="758"/>
      <c r="V506" s="758"/>
      <c r="W506" s="758"/>
      <c r="X506" s="758"/>
      <c r="Y506" s="777"/>
      <c r="Z506" s="777"/>
      <c r="AA506" s="777"/>
      <c r="AB506" s="411"/>
      <c r="AC506" s="411"/>
      <c r="AD506" s="411"/>
      <c r="AE506" s="411"/>
      <c r="AF506" s="411"/>
      <c r="AG506" s="411"/>
      <c r="AH506" s="411"/>
      <c r="AI506" s="411"/>
      <c r="AJ506" s="411"/>
      <c r="AK506" s="411"/>
      <c r="AL506" s="411"/>
      <c r="AM506" s="313"/>
    </row>
    <row r="507" spans="1:39" s="283" customFormat="1" ht="15" outlineLevel="1">
      <c r="A507" s="504">
        <v>32</v>
      </c>
      <c r="B507" s="323" t="s">
        <v>492</v>
      </c>
      <c r="C507" s="291" t="s">
        <v>25</v>
      </c>
      <c r="D507" s="295">
        <f>+'7.  Persistence Report'!AT149</f>
        <v>0</v>
      </c>
      <c r="E507" s="295">
        <f>+'7.  Persistence Report'!AU149</f>
        <v>0</v>
      </c>
      <c r="F507" s="295">
        <f>+'7.  Persistence Report'!AV149</f>
        <v>0</v>
      </c>
      <c r="G507" s="295">
        <f>+'7.  Persistence Report'!AW149</f>
        <v>0</v>
      </c>
      <c r="H507" s="295">
        <f>+'7.  Persistence Report'!AX149</f>
        <v>0</v>
      </c>
      <c r="I507" s="295">
        <f>+'7.  Persistence Report'!AY149</f>
        <v>0</v>
      </c>
      <c r="J507" s="295">
        <f>+'7.  Persistence Report'!AZ149</f>
        <v>0</v>
      </c>
      <c r="K507" s="295">
        <f>+'7.  Persistence Report'!BA149</f>
        <v>0</v>
      </c>
      <c r="L507" s="295">
        <f>+'7.  Persistence Report'!BB149</f>
        <v>0</v>
      </c>
      <c r="M507" s="295">
        <f>+'7.  Persistence Report'!BC149</f>
        <v>0</v>
      </c>
      <c r="N507" s="295">
        <v>0</v>
      </c>
      <c r="O507" s="295">
        <f>+'7.  Persistence Report'!O149</f>
        <v>888.23582959999999</v>
      </c>
      <c r="P507" s="295">
        <f>+'7.  Persistence Report'!P149</f>
        <v>0</v>
      </c>
      <c r="Q507" s="295">
        <f>+'7.  Persistence Report'!Q149</f>
        <v>0</v>
      </c>
      <c r="R507" s="295">
        <f>+'7.  Persistence Report'!R149</f>
        <v>0</v>
      </c>
      <c r="S507" s="295">
        <f>+'7.  Persistence Report'!S149</f>
        <v>0</v>
      </c>
      <c r="T507" s="295">
        <f>+'7.  Persistence Report'!T149</f>
        <v>0</v>
      </c>
      <c r="U507" s="295">
        <f>+'7.  Persistence Report'!U149</f>
        <v>0</v>
      </c>
      <c r="V507" s="295">
        <f>+'7.  Persistence Report'!V149</f>
        <v>0</v>
      </c>
      <c r="W507" s="295">
        <f>+'7.  Persistence Report'!W149</f>
        <v>0</v>
      </c>
      <c r="X507" s="295">
        <f>+'7.  Persistence Report'!X149</f>
        <v>0</v>
      </c>
      <c r="Y507" s="772"/>
      <c r="Z507" s="772">
        <v>0</v>
      </c>
      <c r="AA507" s="772">
        <v>1</v>
      </c>
      <c r="AB507" s="409"/>
      <c r="AC507" s="409"/>
      <c r="AD507" s="409"/>
      <c r="AE507" s="409"/>
      <c r="AF507" s="409"/>
      <c r="AG507" s="409"/>
      <c r="AH507" s="409"/>
      <c r="AI507" s="409"/>
      <c r="AJ507" s="409"/>
      <c r="AK507" s="409"/>
      <c r="AL507" s="409"/>
      <c r="AM507" s="296">
        <f>SUM(Y507:AL507)</f>
        <v>1</v>
      </c>
    </row>
    <row r="508" spans="1:39" s="283" customFormat="1" ht="15" outlineLevel="1">
      <c r="A508" s="504"/>
      <c r="B508" s="323"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76">
        <f>Y507</f>
        <v>0</v>
      </c>
      <c r="Z508" s="776">
        <f t="shared" ref="Z508:AA508" si="255">Z507</f>
        <v>0</v>
      </c>
      <c r="AA508" s="776">
        <f t="shared" si="255"/>
        <v>1</v>
      </c>
      <c r="AB508" s="410">
        <f t="shared" ref="AB508:AL508" si="256">AB507</f>
        <v>0</v>
      </c>
      <c r="AC508" s="410">
        <f t="shared" si="256"/>
        <v>0</v>
      </c>
      <c r="AD508" s="410">
        <f t="shared" si="256"/>
        <v>0</v>
      </c>
      <c r="AE508" s="410">
        <f t="shared" si="256"/>
        <v>0</v>
      </c>
      <c r="AF508" s="410">
        <f t="shared" si="256"/>
        <v>0</v>
      </c>
      <c r="AG508" s="410">
        <f t="shared" si="256"/>
        <v>0</v>
      </c>
      <c r="AH508" s="410">
        <f t="shared" si="256"/>
        <v>0</v>
      </c>
      <c r="AI508" s="410">
        <f t="shared" si="256"/>
        <v>0</v>
      </c>
      <c r="AJ508" s="410">
        <f t="shared" si="256"/>
        <v>0</v>
      </c>
      <c r="AK508" s="410">
        <f t="shared" si="256"/>
        <v>0</v>
      </c>
      <c r="AL508" s="410">
        <f t="shared" si="256"/>
        <v>0</v>
      </c>
      <c r="AM508" s="297"/>
    </row>
    <row r="509" spans="1:39" s="283" customFormat="1" ht="15" outlineLevel="1">
      <c r="A509" s="504"/>
      <c r="B509" s="323"/>
      <c r="C509" s="291"/>
      <c r="D509" s="758"/>
      <c r="E509" s="758"/>
      <c r="F509" s="758"/>
      <c r="G509" s="758"/>
      <c r="H509" s="758"/>
      <c r="I509" s="758"/>
      <c r="J509" s="758"/>
      <c r="K509" s="758"/>
      <c r="L509" s="758"/>
      <c r="M509" s="758"/>
      <c r="N509" s="758"/>
      <c r="O509" s="758"/>
      <c r="P509" s="758"/>
      <c r="Q509" s="758"/>
      <c r="R509" s="758"/>
      <c r="S509" s="758"/>
      <c r="T509" s="758"/>
      <c r="U509" s="758"/>
      <c r="V509" s="758"/>
      <c r="W509" s="758"/>
      <c r="X509" s="758"/>
      <c r="Y509" s="777"/>
      <c r="Z509" s="777"/>
      <c r="AA509" s="777"/>
      <c r="AB509" s="411"/>
      <c r="AC509" s="411"/>
      <c r="AD509" s="411"/>
      <c r="AE509" s="411"/>
      <c r="AF509" s="411"/>
      <c r="AG509" s="411"/>
      <c r="AH509" s="411"/>
      <c r="AI509" s="411"/>
      <c r="AJ509" s="411"/>
      <c r="AK509" s="411"/>
      <c r="AL509" s="411"/>
      <c r="AM509" s="313"/>
    </row>
    <row r="510" spans="1:39" s="283" customFormat="1" ht="15" outlineLevel="1">
      <c r="A510" s="504">
        <v>33</v>
      </c>
      <c r="B510" s="323" t="s">
        <v>493</v>
      </c>
      <c r="C510" s="291" t="s">
        <v>25</v>
      </c>
      <c r="D510" s="295">
        <f>+'7.  Persistence Report'!AT148</f>
        <v>216677.09700000001</v>
      </c>
      <c r="E510" s="295">
        <f>+'7.  Persistence Report'!AU148</f>
        <v>0</v>
      </c>
      <c r="F510" s="295">
        <f>+'7.  Persistence Report'!AV148</f>
        <v>0</v>
      </c>
      <c r="G510" s="295">
        <f>+'7.  Persistence Report'!AW148</f>
        <v>0</v>
      </c>
      <c r="H510" s="295">
        <f>+'7.  Persistence Report'!AX148</f>
        <v>0</v>
      </c>
      <c r="I510" s="295">
        <f>+'7.  Persistence Report'!AY148</f>
        <v>0</v>
      </c>
      <c r="J510" s="295">
        <f>+'7.  Persistence Report'!AZ148</f>
        <v>0</v>
      </c>
      <c r="K510" s="295">
        <f>+'7.  Persistence Report'!BA148</f>
        <v>0</v>
      </c>
      <c r="L510" s="295">
        <f>+'7.  Persistence Report'!BB148</f>
        <v>0</v>
      </c>
      <c r="M510" s="295">
        <f>+'7.  Persistence Report'!BC148</f>
        <v>0</v>
      </c>
      <c r="N510" s="295">
        <v>12</v>
      </c>
      <c r="O510" s="295">
        <f>+'7.  Persistence Report'!O148</f>
        <v>28.5562</v>
      </c>
      <c r="P510" s="295">
        <f>+'7.  Persistence Report'!P148</f>
        <v>0</v>
      </c>
      <c r="Q510" s="295">
        <f>+'7.  Persistence Report'!Q148</f>
        <v>0</v>
      </c>
      <c r="R510" s="295">
        <f>+'7.  Persistence Report'!R148</f>
        <v>0</v>
      </c>
      <c r="S510" s="295">
        <f>+'7.  Persistence Report'!S148</f>
        <v>0</v>
      </c>
      <c r="T510" s="295">
        <f>+'7.  Persistence Report'!T148</f>
        <v>0</v>
      </c>
      <c r="U510" s="295">
        <f>+'7.  Persistence Report'!U148</f>
        <v>0</v>
      </c>
      <c r="V510" s="295">
        <f>+'7.  Persistence Report'!V148</f>
        <v>0</v>
      </c>
      <c r="W510" s="295">
        <f>+'7.  Persistence Report'!W148</f>
        <v>0</v>
      </c>
      <c r="X510" s="295">
        <f>+'7.  Persistence Report'!X148</f>
        <v>0</v>
      </c>
      <c r="Y510" s="772"/>
      <c r="Z510" s="772">
        <v>0</v>
      </c>
      <c r="AA510" s="772">
        <v>1</v>
      </c>
      <c r="AB510" s="409"/>
      <c r="AC510" s="409"/>
      <c r="AD510" s="409"/>
      <c r="AE510" s="409"/>
      <c r="AF510" s="409"/>
      <c r="AG510" s="409"/>
      <c r="AH510" s="409"/>
      <c r="AI510" s="409"/>
      <c r="AJ510" s="409"/>
      <c r="AK510" s="409"/>
      <c r="AL510" s="409"/>
      <c r="AM510" s="296">
        <f>SUM(Y510:AL510)</f>
        <v>1</v>
      </c>
    </row>
    <row r="511" spans="1:39" s="283" customFormat="1" ht="15" outlineLevel="1">
      <c r="A511" s="504"/>
      <c r="B511" s="323"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76">
        <f>Y510</f>
        <v>0</v>
      </c>
      <c r="Z511" s="776">
        <f t="shared" ref="Z511:AA511" si="257">Z510</f>
        <v>0</v>
      </c>
      <c r="AA511" s="776">
        <f t="shared" si="257"/>
        <v>1</v>
      </c>
      <c r="AB511" s="410">
        <f t="shared" ref="AB511:AK511" si="258">AB510</f>
        <v>0</v>
      </c>
      <c r="AC511" s="410">
        <f t="shared" si="258"/>
        <v>0</v>
      </c>
      <c r="AD511" s="410">
        <f t="shared" si="258"/>
        <v>0</v>
      </c>
      <c r="AE511" s="410">
        <f t="shared" si="258"/>
        <v>0</v>
      </c>
      <c r="AF511" s="410">
        <f t="shared" si="258"/>
        <v>0</v>
      </c>
      <c r="AG511" s="410">
        <f t="shared" si="258"/>
        <v>0</v>
      </c>
      <c r="AH511" s="410">
        <f t="shared" si="258"/>
        <v>0</v>
      </c>
      <c r="AI511" s="410">
        <f t="shared" si="258"/>
        <v>0</v>
      </c>
      <c r="AJ511" s="410">
        <f t="shared" si="258"/>
        <v>0</v>
      </c>
      <c r="AK511" s="410">
        <f t="shared" si="258"/>
        <v>0</v>
      </c>
      <c r="AL511" s="410">
        <f>AL510</f>
        <v>0</v>
      </c>
      <c r="AM511" s="297"/>
    </row>
    <row r="512" spans="1:39" ht="15" outlineLevel="1">
      <c r="B512" s="315"/>
      <c r="C512" s="324"/>
      <c r="D512" s="291"/>
      <c r="E512" s="291"/>
      <c r="F512" s="291"/>
      <c r="G512" s="291"/>
      <c r="H512" s="291"/>
      <c r="I512" s="291"/>
      <c r="J512" s="291"/>
      <c r="K512" s="291"/>
      <c r="L512" s="291"/>
      <c r="M512" s="291"/>
      <c r="N512" s="300"/>
      <c r="O512" s="291"/>
      <c r="P512" s="325"/>
      <c r="Q512" s="325"/>
      <c r="R512" s="325"/>
      <c r="S512" s="325"/>
      <c r="T512" s="325"/>
      <c r="U512" s="325"/>
      <c r="V512" s="325"/>
      <c r="W512" s="325"/>
      <c r="X512" s="325"/>
      <c r="Y512" s="301"/>
      <c r="Z512" s="301"/>
      <c r="AA512" s="301"/>
      <c r="AB512" s="301"/>
      <c r="AC512" s="301"/>
      <c r="AD512" s="301"/>
      <c r="AE512" s="301"/>
      <c r="AF512" s="301"/>
      <c r="AG512" s="301"/>
      <c r="AH512" s="301"/>
      <c r="AI512" s="301"/>
      <c r="AJ512" s="301"/>
      <c r="AK512" s="301"/>
      <c r="AL512" s="301"/>
      <c r="AM512" s="306"/>
    </row>
    <row r="513" spans="2:41" ht="15.75">
      <c r="B513" s="326" t="s">
        <v>260</v>
      </c>
      <c r="C513" s="328"/>
      <c r="D513" s="328">
        <f>SUM(D408:D511)</f>
        <v>10262354.371049438</v>
      </c>
      <c r="E513" s="328"/>
      <c r="F513" s="328"/>
      <c r="G513" s="328"/>
      <c r="H513" s="328"/>
      <c r="I513" s="328"/>
      <c r="J513" s="328"/>
      <c r="K513" s="328"/>
      <c r="L513" s="328"/>
      <c r="M513" s="328"/>
      <c r="N513" s="328"/>
      <c r="O513" s="328">
        <f>SUM(O408:O511)</f>
        <v>9174.3784152196567</v>
      </c>
      <c r="P513" s="328"/>
      <c r="Q513" s="328"/>
      <c r="R513" s="328"/>
      <c r="S513" s="328"/>
      <c r="T513" s="328"/>
      <c r="U513" s="328"/>
      <c r="V513" s="328"/>
      <c r="W513" s="328"/>
      <c r="X513" s="328"/>
      <c r="Y513" s="328">
        <f>IF(Y407="kWh",SUMPRODUCT(D408:D511,Y408:Y511))</f>
        <v>4134497.9260704373</v>
      </c>
      <c r="Z513" s="328">
        <f>IF(Z407="kWh",SUMPRODUCT(D408:D511,Z408:Z511))</f>
        <v>1742866.309317</v>
      </c>
      <c r="AA513" s="328">
        <f>IF(AA407="kW",SUMPRODUCT(N408:N511,O408:O511,AA408:AA511),SUMPRODUCT(D408:D511,AA408:AA511))</f>
        <v>10305.650745753599</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3348102</v>
      </c>
      <c r="Z514" s="327">
        <f>HLOOKUP(Z406,'2. LRAMVA Threshold'!$B$42:$Q$53,6,FALSE)</f>
        <v>3280740</v>
      </c>
      <c r="AA514" s="327">
        <f>HLOOKUP(AA406,'2. LRAMVA Threshold'!$B$42:$Q$53,6,FALSE)</f>
        <v>31326</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f>HLOOKUP(Y$20,'3.  Distribution Rates'!$C$122:$P$133,6,FALSE)</f>
        <v>1.6199999999999999E-2</v>
      </c>
      <c r="Z516" s="340">
        <f>HLOOKUP(Z$20,'3.  Distribution Rates'!$C$122:$P$133,6,FALSE)</f>
        <v>1.24E-2</v>
      </c>
      <c r="AA516" s="340">
        <f>HLOOKUP(AA$20,'3.  Distribution Rates'!$C$122:$P$133,6,FALSE)</f>
        <v>4.42</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33642.502245766154</v>
      </c>
      <c r="Z517" s="377">
        <f t="shared" ref="Z517:AL517" si="259">Z137*Z516</f>
        <v>24692.276388944298</v>
      </c>
      <c r="AA517" s="377">
        <f t="shared" si="259"/>
        <v>74100.058985975134</v>
      </c>
      <c r="AB517" s="377">
        <f t="shared" si="259"/>
        <v>0</v>
      </c>
      <c r="AC517" s="377">
        <f t="shared" si="259"/>
        <v>0</v>
      </c>
      <c r="AD517" s="377">
        <f t="shared" si="259"/>
        <v>0</v>
      </c>
      <c r="AE517" s="377">
        <f t="shared" si="259"/>
        <v>0</v>
      </c>
      <c r="AF517" s="377">
        <f t="shared" si="259"/>
        <v>0</v>
      </c>
      <c r="AG517" s="377">
        <f t="shared" si="259"/>
        <v>0</v>
      </c>
      <c r="AH517" s="377">
        <f t="shared" si="259"/>
        <v>0</v>
      </c>
      <c r="AI517" s="377">
        <f t="shared" si="259"/>
        <v>0</v>
      </c>
      <c r="AJ517" s="377">
        <f t="shared" si="259"/>
        <v>0</v>
      </c>
      <c r="AK517" s="377">
        <f t="shared" si="259"/>
        <v>0</v>
      </c>
      <c r="AL517" s="377">
        <f t="shared" si="259"/>
        <v>0</v>
      </c>
      <c r="AM517" s="624">
        <f>SUM(Y517:AL517)</f>
        <v>132434.83762068558</v>
      </c>
      <c r="AO517" s="283"/>
    </row>
    <row r="518" spans="2:41" ht="15">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24176.902359015447</v>
      </c>
      <c r="Z518" s="377">
        <f t="shared" ref="Z518:AL518" si="260">Z266*Z516</f>
        <v>17857.923336310487</v>
      </c>
      <c r="AA518" s="377">
        <f t="shared" si="260"/>
        <v>39756.804283277823</v>
      </c>
      <c r="AB518" s="377">
        <f t="shared" si="260"/>
        <v>0</v>
      </c>
      <c r="AC518" s="377">
        <f t="shared" si="260"/>
        <v>0</v>
      </c>
      <c r="AD518" s="377">
        <f t="shared" si="260"/>
        <v>0</v>
      </c>
      <c r="AE518" s="377">
        <f t="shared" si="260"/>
        <v>0</v>
      </c>
      <c r="AF518" s="377">
        <f t="shared" si="260"/>
        <v>0</v>
      </c>
      <c r="AG518" s="377">
        <f t="shared" si="260"/>
        <v>0</v>
      </c>
      <c r="AH518" s="377">
        <f t="shared" si="260"/>
        <v>0</v>
      </c>
      <c r="AI518" s="377">
        <f t="shared" si="260"/>
        <v>0</v>
      </c>
      <c r="AJ518" s="377">
        <f t="shared" si="260"/>
        <v>0</v>
      </c>
      <c r="AK518" s="377">
        <f t="shared" si="260"/>
        <v>0</v>
      </c>
      <c r="AL518" s="377">
        <f t="shared" si="260"/>
        <v>0</v>
      </c>
      <c r="AM518" s="624">
        <f>SUM(Y518:AL518)</f>
        <v>81791.629978603756</v>
      </c>
    </row>
    <row r="519" spans="2:41" ht="15">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26938.957156345019</v>
      </c>
      <c r="Z519" s="377">
        <f t="shared" ref="Z519:AL519" si="261">Z395*Z516</f>
        <v>20090.53880989179</v>
      </c>
      <c r="AA519" s="377">
        <f t="shared" si="261"/>
        <v>55629.351500162367</v>
      </c>
      <c r="AB519" s="377">
        <f t="shared" si="261"/>
        <v>0</v>
      </c>
      <c r="AC519" s="377">
        <f t="shared" si="261"/>
        <v>0</v>
      </c>
      <c r="AD519" s="377">
        <f t="shared" si="261"/>
        <v>0</v>
      </c>
      <c r="AE519" s="377">
        <f t="shared" si="261"/>
        <v>0</v>
      </c>
      <c r="AF519" s="377">
        <f t="shared" si="261"/>
        <v>0</v>
      </c>
      <c r="AG519" s="377">
        <f t="shared" si="261"/>
        <v>0</v>
      </c>
      <c r="AH519" s="377">
        <f t="shared" si="261"/>
        <v>0</v>
      </c>
      <c r="AI519" s="377">
        <f t="shared" si="261"/>
        <v>0</v>
      </c>
      <c r="AJ519" s="377">
        <f t="shared" si="261"/>
        <v>0</v>
      </c>
      <c r="AK519" s="377">
        <f t="shared" si="261"/>
        <v>0</v>
      </c>
      <c r="AL519" s="377">
        <f t="shared" si="261"/>
        <v>0</v>
      </c>
      <c r="AM519" s="624">
        <f>SUM(Y519:AL519)</f>
        <v>102658.84746639917</v>
      </c>
    </row>
    <row r="520" spans="2:41" ht="15">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66978.866402341082</v>
      </c>
      <c r="Z520" s="377">
        <f t="shared" ref="Z520:AK520" si="262">Z513*Z516</f>
        <v>21611.5422355308</v>
      </c>
      <c r="AA520" s="377">
        <f t="shared" si="262"/>
        <v>45550.976296230911</v>
      </c>
      <c r="AB520" s="377">
        <f t="shared" si="262"/>
        <v>0</v>
      </c>
      <c r="AC520" s="377">
        <f t="shared" si="262"/>
        <v>0</v>
      </c>
      <c r="AD520" s="377">
        <f t="shared" si="262"/>
        <v>0</v>
      </c>
      <c r="AE520" s="377">
        <f t="shared" si="262"/>
        <v>0</v>
      </c>
      <c r="AF520" s="377">
        <f t="shared" si="262"/>
        <v>0</v>
      </c>
      <c r="AG520" s="377">
        <f t="shared" si="262"/>
        <v>0</v>
      </c>
      <c r="AH520" s="377">
        <f t="shared" si="262"/>
        <v>0</v>
      </c>
      <c r="AI520" s="377">
        <f>AI513*AI516</f>
        <v>0</v>
      </c>
      <c r="AJ520" s="377">
        <f t="shared" si="262"/>
        <v>0</v>
      </c>
      <c r="AK520" s="377">
        <f t="shared" si="262"/>
        <v>0</v>
      </c>
      <c r="AL520" s="377">
        <f>AL513*AL516</f>
        <v>0</v>
      </c>
      <c r="AM520" s="624">
        <f>SUM(Y520:AL520)</f>
        <v>134141.3849341028</v>
      </c>
    </row>
    <row r="521" spans="2:41" ht="15.75">
      <c r="B521" s="348" t="s">
        <v>262</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151737.22816346772</v>
      </c>
      <c r="Z521" s="345">
        <f t="shared" ref="Z521:AK521" si="263">SUM(Z517:Z520)</f>
        <v>84252.280770677375</v>
      </c>
      <c r="AA521" s="345">
        <f t="shared" si="263"/>
        <v>215037.19106564624</v>
      </c>
      <c r="AB521" s="345">
        <f t="shared" si="263"/>
        <v>0</v>
      </c>
      <c r="AC521" s="345">
        <f t="shared" si="263"/>
        <v>0</v>
      </c>
      <c r="AD521" s="345">
        <f t="shared" si="263"/>
        <v>0</v>
      </c>
      <c r="AE521" s="345">
        <f t="shared" si="263"/>
        <v>0</v>
      </c>
      <c r="AF521" s="345">
        <f t="shared" si="263"/>
        <v>0</v>
      </c>
      <c r="AG521" s="345">
        <f t="shared" si="263"/>
        <v>0</v>
      </c>
      <c r="AH521" s="345">
        <f t="shared" si="263"/>
        <v>0</v>
      </c>
      <c r="AI521" s="345">
        <f t="shared" si="263"/>
        <v>0</v>
      </c>
      <c r="AJ521" s="345">
        <f t="shared" si="263"/>
        <v>0</v>
      </c>
      <c r="AK521" s="345">
        <f t="shared" si="263"/>
        <v>0</v>
      </c>
      <c r="AL521" s="345">
        <f>SUM(AL517:AL520)</f>
        <v>0</v>
      </c>
      <c r="AM521" s="406">
        <f>SUM(AM517:AM520)</f>
        <v>451026.69999979122</v>
      </c>
    </row>
    <row r="522" spans="2:41" ht="15.75">
      <c r="B522" s="348" t="s">
        <v>263</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54239.252399999998</v>
      </c>
      <c r="Z522" s="346">
        <f t="shared" ref="Z522:AJ522" si="264">Z514*Z516</f>
        <v>40681.175999999999</v>
      </c>
      <c r="AA522" s="346">
        <f>AA514*AA516</f>
        <v>138460.91999999998</v>
      </c>
      <c r="AB522" s="346">
        <f t="shared" si="264"/>
        <v>0</v>
      </c>
      <c r="AC522" s="346">
        <f t="shared" si="264"/>
        <v>0</v>
      </c>
      <c r="AD522" s="346">
        <f>AD514*AD516</f>
        <v>0</v>
      </c>
      <c r="AE522" s="346">
        <f t="shared" si="264"/>
        <v>0</v>
      </c>
      <c r="AF522" s="346">
        <f t="shared" si="264"/>
        <v>0</v>
      </c>
      <c r="AG522" s="346">
        <f t="shared" si="264"/>
        <v>0</v>
      </c>
      <c r="AH522" s="346">
        <f t="shared" si="264"/>
        <v>0</v>
      </c>
      <c r="AI522" s="346">
        <f t="shared" si="264"/>
        <v>0</v>
      </c>
      <c r="AJ522" s="346">
        <f t="shared" si="264"/>
        <v>0</v>
      </c>
      <c r="AK522" s="346">
        <f>AK514*AK516</f>
        <v>0</v>
      </c>
      <c r="AL522" s="346">
        <f>AL514*AL516</f>
        <v>0</v>
      </c>
      <c r="AM522" s="406">
        <f>SUM(Y522:AL522)</f>
        <v>233381.34839999999</v>
      </c>
    </row>
    <row r="523" spans="2:41" ht="15.75">
      <c r="B523" s="348" t="s">
        <v>265</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217645.35159979123</v>
      </c>
    </row>
    <row r="524" spans="2:41" ht="15.75">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3836637.9799704375</v>
      </c>
      <c r="Z526" s="291">
        <f>SUMPRODUCT(E408:E511,Z408:Z511)</f>
        <v>1725753.2256749999</v>
      </c>
      <c r="AA526" s="291">
        <f>IF(AA407="kW",SUMPRODUCT(N408:N511,P408:P511,AA408:AA511),SUMPRODUCT(E408:E511,AA408:AA511))</f>
        <v>9936.3333052151993</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41" ht="15">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f>SUMPRODUCT(F408:F511,Y408:Y511)</f>
        <v>3631707.6369704371</v>
      </c>
      <c r="Z527" s="291">
        <f>SUMPRODUCT(F408:F511,Z408:Z511)</f>
        <v>1701347.4675750001</v>
      </c>
      <c r="AA527" s="291">
        <f>IF(AA407="kW",SUMPRODUCT(N408:N511,Q408:Q511,AA408:AA511),SUMPRODUCT(F408:F511,AA408:AA511))</f>
        <v>9936.3333052151993</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6"/>
    </row>
    <row r="528" spans="2:41" ht="15">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f>SUMPRODUCT(G408:G511,Y408:Y511)</f>
        <v>3606588.9983772375</v>
      </c>
      <c r="Z528" s="291">
        <f>SUMPRODUCT(G408:G511,Z408:Z511)</f>
        <v>1572089.2150870003</v>
      </c>
      <c r="AA528" s="291">
        <f>IF(AA407="kW",SUMPRODUCT(N408:N511,R408:R511,AA408:AA511),SUMPRODUCT(G408:G511,AA408:AA511))</f>
        <v>9828.9389745143999</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6"/>
    </row>
    <row r="529" spans="2:39" ht="15">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f>SUMPRODUCT(H408:H511,Y408:Y511)</f>
        <v>3483420.6242690939</v>
      </c>
      <c r="Z529" s="291">
        <f>SUMPRODUCT(H408:H511,Z408:Z511)</f>
        <v>854079.94448700012</v>
      </c>
      <c r="AA529" s="291">
        <f>IF(AA407="kW",SUMPRODUCT(N408:N511,S408:S511,AA408:AA511),SUMPRODUCT(H408:H511,AA408:AA511))</f>
        <v>9826.2097389144001</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6"/>
    </row>
    <row r="530" spans="2:39" ht="15">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f>SUMPRODUCT(I408:I511,Y408:Y511)</f>
        <v>3436002.2335470002</v>
      </c>
      <c r="Z530" s="291">
        <f>SUMPRODUCT(I408:I511,Z408:Z511)</f>
        <v>854079.94448700012</v>
      </c>
      <c r="AA530" s="291">
        <f>IF(AA407="kW",SUMPRODUCT(N408:N511,T408:T511,AA408:AA511),SUMPRODUCT(I408:I511,AA408:AA511))</f>
        <v>9826.2097389144001</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3430969.0322470004</v>
      </c>
      <c r="Z531" s="325">
        <f>SUMPRODUCT(J408:J511,Z408:Z511)</f>
        <v>823611.03927699989</v>
      </c>
      <c r="AA531" s="325">
        <f>IF(AA407="kW",SUMPRODUCT(N408:N511,U408:U511,AA408:AA511),SUMPRODUCT(J408:J511,AA408:AA511))</f>
        <v>9503.2662471863987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0" t="s">
        <v>526</v>
      </c>
    </row>
    <row r="537" spans="2:39" ht="15">
      <c r="B537" s="524" t="s">
        <v>206</v>
      </c>
      <c r="C537" s="829">
        <f>+Y531</f>
        <v>3430969.0322470004</v>
      </c>
      <c r="D537" s="829">
        <f t="shared" ref="D537:E537" si="265">+Z531</f>
        <v>823611.03927699989</v>
      </c>
      <c r="E537" s="829">
        <f t="shared" si="265"/>
        <v>9503.2662471863987</v>
      </c>
    </row>
    <row r="538" spans="2:39" ht="15">
      <c r="B538" s="524" t="s">
        <v>200</v>
      </c>
      <c r="C538" s="829">
        <f>+Y401</f>
        <v>1342989.4325724829</v>
      </c>
      <c r="D538" s="829">
        <f t="shared" ref="D538:E538" si="266">+Z401</f>
        <v>1096128.281245247</v>
      </c>
      <c r="E538" s="829">
        <f t="shared" si="266"/>
        <v>11738.426832271223</v>
      </c>
    </row>
    <row r="539" spans="2:39" ht="15">
      <c r="B539" s="832" t="s">
        <v>194</v>
      </c>
      <c r="C539" s="829">
        <f>+Y272</f>
        <v>979613.67307474872</v>
      </c>
      <c r="D539" s="829">
        <f t="shared" ref="D539:E539" si="267">+Z272</f>
        <v>835088.22185211582</v>
      </c>
      <c r="E539" s="829">
        <f t="shared" si="267"/>
        <v>7125.4416484135381</v>
      </c>
    </row>
    <row r="540" spans="2:39" ht="15">
      <c r="B540" s="833" t="s">
        <v>223</v>
      </c>
      <c r="C540" s="829">
        <f>+Y143</f>
        <v>1207341.9044642358</v>
      </c>
      <c r="D540" s="829">
        <f t="shared" ref="D540:E540" si="268">+Z143</f>
        <v>1449666.1240162794</v>
      </c>
      <c r="E540" s="829">
        <f t="shared" si="268"/>
        <v>14103.423533200395</v>
      </c>
    </row>
    <row r="541" spans="2:39" ht="15">
      <c r="B541" s="832" t="s">
        <v>148</v>
      </c>
      <c r="C541" s="829">
        <f>+'5.  2015-2020 LRAM'!Y212</f>
        <v>4106672.06</v>
      </c>
      <c r="D541" s="829">
        <f>+'5.  2015-2020 LRAM'!Z212</f>
        <v>3743687.34</v>
      </c>
      <c r="E541" s="829">
        <f>+'5.  2015-2020 LRAM'!AA212</f>
        <v>37204.799999999996</v>
      </c>
    </row>
    <row r="542" spans="2:39" ht="15">
      <c r="B542" s="834" t="s">
        <v>288</v>
      </c>
      <c r="C542" s="830">
        <f>+'5.  2015-2020 LRAM'!Y398</f>
        <v>9349965</v>
      </c>
      <c r="D542" s="830">
        <f>+'5.  2015-2020 LRAM'!Z398</f>
        <v>1563626.4</v>
      </c>
      <c r="E542" s="830">
        <f>+'5.  2015-2020 LRAM'!AA398</f>
        <v>29451.839999999997</v>
      </c>
    </row>
    <row r="543" spans="2:39" ht="15">
      <c r="B543" s="834" t="s">
        <v>307</v>
      </c>
      <c r="C543" s="830">
        <f>'5.  2015-2020 LRAM'!Y595</f>
        <v>12904769.464</v>
      </c>
      <c r="D543" s="830">
        <f>'5.  2015-2020 LRAM'!Z595</f>
        <v>2034322.8915068372</v>
      </c>
      <c r="E543" s="830">
        <f>'5.  2015-2020 LRAM'!AA595</f>
        <v>35266.716</v>
      </c>
    </row>
    <row r="544" spans="2:39" ht="15">
      <c r="B544" s="834" t="s">
        <v>326</v>
      </c>
      <c r="C544" s="830">
        <f>'5.  2015-2020 LRAM'!Y784</f>
        <v>3889866.8024602993</v>
      </c>
      <c r="D544" s="830">
        <f>'5.  2015-2020 LRAM'!Z784</f>
        <v>3203050.7910000002</v>
      </c>
      <c r="E544" s="830">
        <f>'5.  2015-2020 LRAM'!AA784</f>
        <v>8386.754844000001</v>
      </c>
      <c r="G544" s="253" t="s">
        <v>821</v>
      </c>
    </row>
    <row r="545" spans="3:5">
      <c r="C545" s="831">
        <f>SUM(C537:C544)</f>
        <v>37212187.368818767</v>
      </c>
      <c r="D545" s="831">
        <f t="shared" ref="D545:E545" si="269">SUM(D537:D544)</f>
        <v>14749181.088897482</v>
      </c>
      <c r="E545" s="831">
        <f t="shared" si="269"/>
        <v>152780.66910507155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9" right="0.23622047244094499" top="0.34" bottom="0.24" header="0.15748031496063" footer="0.15748031496063"/>
  <pageSetup paperSize="5" scale="45"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3:AP1153"/>
  <sheetViews>
    <sheetView zoomScale="80" zoomScaleNormal="80" workbookViewId="0">
      <selection sqref="A1:XFD1048576"/>
    </sheetView>
  </sheetViews>
  <sheetFormatPr defaultColWidth="9" defaultRowHeight="15" outlineLevelRow="2" outlineLevelCol="1"/>
  <cols>
    <col min="1" max="1" width="2.7109375" style="517" customWidth="1"/>
    <col min="2" max="2" width="31.5703125" style="424" customWidth="1"/>
    <col min="3" max="3" width="13.42578125" style="424" customWidth="1"/>
    <col min="4" max="4" width="17" style="424" customWidth="1"/>
    <col min="5" max="9" width="17" style="424" bestFit="1" customWidth="1" outlineLevel="1"/>
    <col min="10" max="13" width="15" style="424" customWidth="1" outlineLevel="1"/>
    <col min="14" max="14" width="13.5703125" style="424" customWidth="1" outlineLevel="1"/>
    <col min="15" max="15" width="15.5703125" style="424" customWidth="1"/>
    <col min="16" max="18" width="10.85546875" style="424" customWidth="1" outlineLevel="1"/>
    <col min="19" max="24" width="9" style="424" customWidth="1" outlineLevel="1"/>
    <col min="25" max="25" width="16.5703125" style="424" customWidth="1"/>
    <col min="26" max="27" width="15" style="424" customWidth="1"/>
    <col min="28" max="28" width="17.5703125" style="424" customWidth="1"/>
    <col min="29" max="29" width="19.5703125" style="424" hidden="1" customWidth="1"/>
    <col min="30" max="30" width="18.5703125" style="424" hidden="1" customWidth="1"/>
    <col min="31" max="35" width="15" style="424" hidden="1" customWidth="1"/>
    <col min="36" max="38" width="17.28515625" style="424" hidden="1" customWidth="1"/>
    <col min="39" max="39" width="14.5703125" style="424" customWidth="1"/>
    <col min="40" max="40" width="11.5703125" style="424" customWidth="1"/>
    <col min="41" max="16384" width="9" style="424"/>
  </cols>
  <sheetData>
    <row r="13" spans="2:39" ht="15.75" thickBot="1"/>
    <row r="14" spans="2:39" ht="26.25" customHeight="1" thickBot="1">
      <c r="B14" s="1209" t="s">
        <v>171</v>
      </c>
      <c r="C14" s="257" t="s">
        <v>175</v>
      </c>
      <c r="D14" s="501"/>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20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209"/>
      <c r="C16" s="1188" t="s">
        <v>551</v>
      </c>
      <c r="D16" s="118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209" t="s">
        <v>505</v>
      </c>
      <c r="C18" s="1208" t="s">
        <v>686</v>
      </c>
      <c r="D18" s="1208"/>
      <c r="E18" s="1208"/>
      <c r="F18" s="1208"/>
      <c r="G18" s="1208"/>
      <c r="H18" s="1208"/>
      <c r="I18" s="1208"/>
      <c r="J18" s="1208"/>
      <c r="K18" s="1208"/>
      <c r="L18" s="1208"/>
      <c r="M18" s="1208"/>
      <c r="N18" s="1208"/>
      <c r="O18" s="1208"/>
      <c r="P18" s="1208"/>
      <c r="Q18" s="1208"/>
      <c r="R18" s="1208"/>
      <c r="S18" s="1208"/>
      <c r="T18" s="1208"/>
      <c r="U18" s="1208"/>
      <c r="V18" s="1208"/>
      <c r="W18" s="1208"/>
      <c r="X18" s="1208"/>
      <c r="Y18" s="601"/>
      <c r="Z18" s="601"/>
      <c r="AA18" s="601"/>
      <c r="AB18" s="601"/>
      <c r="AC18" s="601"/>
      <c r="AD18" s="601"/>
      <c r="AE18" s="270"/>
      <c r="AF18" s="265"/>
      <c r="AG18" s="265"/>
      <c r="AH18" s="265"/>
      <c r="AI18" s="265"/>
      <c r="AJ18" s="265"/>
      <c r="AK18" s="265"/>
      <c r="AL18" s="265"/>
      <c r="AM18" s="265"/>
    </row>
    <row r="19" spans="2:39" ht="45.75" customHeight="1">
      <c r="B19" s="1209"/>
      <c r="C19" s="1208" t="s">
        <v>565</v>
      </c>
      <c r="D19" s="1208"/>
      <c r="E19" s="1208"/>
      <c r="F19" s="1208"/>
      <c r="G19" s="1208"/>
      <c r="H19" s="1208"/>
      <c r="I19" s="1208"/>
      <c r="J19" s="1208"/>
      <c r="K19" s="1208"/>
      <c r="L19" s="1208"/>
      <c r="M19" s="1208"/>
      <c r="N19" s="1208"/>
      <c r="O19" s="1208"/>
      <c r="P19" s="1208"/>
      <c r="Q19" s="1208"/>
      <c r="R19" s="1208"/>
      <c r="S19" s="1208"/>
      <c r="T19" s="1208"/>
      <c r="U19" s="1208"/>
      <c r="V19" s="1208"/>
      <c r="W19" s="1208"/>
      <c r="X19" s="1208"/>
      <c r="Y19" s="601"/>
      <c r="Z19" s="601"/>
      <c r="AA19" s="601"/>
      <c r="AB19" s="601"/>
      <c r="AC19" s="601"/>
      <c r="AD19" s="601"/>
      <c r="AE19" s="270"/>
      <c r="AF19" s="265"/>
      <c r="AG19" s="265"/>
      <c r="AH19" s="265"/>
      <c r="AI19" s="265"/>
      <c r="AJ19" s="265"/>
      <c r="AK19" s="265"/>
      <c r="AL19" s="265"/>
      <c r="AM19" s="265"/>
    </row>
    <row r="20" spans="2:39" ht="62.25" customHeight="1">
      <c r="B20" s="273"/>
      <c r="C20" s="1208" t="s">
        <v>563</v>
      </c>
      <c r="D20" s="1208"/>
      <c r="E20" s="1208"/>
      <c r="F20" s="1208"/>
      <c r="G20" s="1208"/>
      <c r="H20" s="1208"/>
      <c r="I20" s="1208"/>
      <c r="J20" s="1208"/>
      <c r="K20" s="1208"/>
      <c r="L20" s="1208"/>
      <c r="M20" s="1208"/>
      <c r="N20" s="1208"/>
      <c r="O20" s="1208"/>
      <c r="P20" s="1208"/>
      <c r="Q20" s="1208"/>
      <c r="R20" s="1208"/>
      <c r="S20" s="1208"/>
      <c r="T20" s="1208"/>
      <c r="U20" s="1208"/>
      <c r="V20" s="1208"/>
      <c r="W20" s="1208"/>
      <c r="X20" s="1208"/>
      <c r="Y20" s="601"/>
      <c r="Z20" s="601"/>
      <c r="AA20" s="601"/>
      <c r="AB20" s="601"/>
      <c r="AC20" s="601"/>
      <c r="AD20" s="601"/>
      <c r="AE20" s="425"/>
      <c r="AF20" s="265"/>
      <c r="AG20" s="265"/>
      <c r="AH20" s="265"/>
      <c r="AI20" s="265"/>
      <c r="AJ20" s="265"/>
      <c r="AK20" s="265"/>
      <c r="AL20" s="265"/>
      <c r="AM20" s="265"/>
    </row>
    <row r="21" spans="2:39" ht="37.5" customHeight="1">
      <c r="B21" s="273"/>
      <c r="C21" s="1208" t="s">
        <v>629</v>
      </c>
      <c r="D21" s="1208"/>
      <c r="E21" s="1208"/>
      <c r="F21" s="1208"/>
      <c r="G21" s="1208"/>
      <c r="H21" s="1208"/>
      <c r="I21" s="1208"/>
      <c r="J21" s="1208"/>
      <c r="K21" s="1208"/>
      <c r="L21" s="1208"/>
      <c r="M21" s="1208"/>
      <c r="N21" s="1208"/>
      <c r="O21" s="1208"/>
      <c r="P21" s="1208"/>
      <c r="Q21" s="1208"/>
      <c r="R21" s="1208"/>
      <c r="S21" s="1208"/>
      <c r="T21" s="1208"/>
      <c r="U21" s="1208"/>
      <c r="V21" s="1208"/>
      <c r="W21" s="1208"/>
      <c r="X21" s="1208"/>
      <c r="Y21" s="601"/>
      <c r="Z21" s="601"/>
      <c r="AA21" s="601"/>
      <c r="AB21" s="601"/>
      <c r="AC21" s="601"/>
      <c r="AD21" s="601"/>
      <c r="AE21" s="276"/>
      <c r="AF21" s="265"/>
      <c r="AG21" s="265"/>
      <c r="AH21" s="265"/>
      <c r="AI21" s="265"/>
      <c r="AJ21" s="265"/>
      <c r="AK21" s="265"/>
      <c r="AL21" s="265"/>
      <c r="AM21" s="265"/>
    </row>
    <row r="22" spans="2:39" ht="54.75" customHeight="1">
      <c r="B22" s="273"/>
      <c r="C22" s="1208" t="s">
        <v>613</v>
      </c>
      <c r="D22" s="1208"/>
      <c r="E22" s="1208"/>
      <c r="F22" s="1208"/>
      <c r="G22" s="1208"/>
      <c r="H22" s="1208"/>
      <c r="I22" s="1208"/>
      <c r="J22" s="1208"/>
      <c r="K22" s="1208"/>
      <c r="L22" s="1208"/>
      <c r="M22" s="1208"/>
      <c r="N22" s="1208"/>
      <c r="O22" s="1208"/>
      <c r="P22" s="1208"/>
      <c r="Q22" s="1208"/>
      <c r="R22" s="1208"/>
      <c r="S22" s="1208"/>
      <c r="T22" s="1208"/>
      <c r="U22" s="1208"/>
      <c r="V22" s="1208"/>
      <c r="W22" s="1208"/>
      <c r="X22" s="1208"/>
      <c r="Y22" s="601"/>
      <c r="Z22" s="601"/>
      <c r="AA22" s="601"/>
      <c r="AB22" s="601"/>
      <c r="AC22" s="601"/>
      <c r="AD22" s="601"/>
      <c r="AE22" s="425"/>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1209" t="s">
        <v>527</v>
      </c>
      <c r="C24" s="591"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1209"/>
      <c r="C25" s="591"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4"/>
      <c r="C26" s="591"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4"/>
      <c r="C27" s="591"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4"/>
      <c r="C28" s="591"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4"/>
      <c r="C29" s="591"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4"/>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5"/>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199" t="s">
        <v>211</v>
      </c>
      <c r="C34" s="1201" t="s">
        <v>33</v>
      </c>
      <c r="D34" s="284" t="s">
        <v>422</v>
      </c>
      <c r="E34" s="1203" t="s">
        <v>209</v>
      </c>
      <c r="F34" s="1204"/>
      <c r="G34" s="1204"/>
      <c r="H34" s="1204"/>
      <c r="I34" s="1204"/>
      <c r="J34" s="1204"/>
      <c r="K34" s="1204"/>
      <c r="L34" s="1204"/>
      <c r="M34" s="1205"/>
      <c r="N34" s="1206" t="s">
        <v>213</v>
      </c>
      <c r="O34" s="284" t="s">
        <v>423</v>
      </c>
      <c r="P34" s="1203" t="s">
        <v>212</v>
      </c>
      <c r="Q34" s="1204"/>
      <c r="R34" s="1204"/>
      <c r="S34" s="1204"/>
      <c r="T34" s="1204"/>
      <c r="U34" s="1204"/>
      <c r="V34" s="1204"/>
      <c r="W34" s="1204"/>
      <c r="X34" s="1205"/>
      <c r="Y34" s="1196" t="s">
        <v>243</v>
      </c>
      <c r="Z34" s="1197"/>
      <c r="AA34" s="1197"/>
      <c r="AB34" s="1197"/>
      <c r="AC34" s="1197"/>
      <c r="AD34" s="1197"/>
      <c r="AE34" s="1197"/>
      <c r="AF34" s="1197"/>
      <c r="AG34" s="1197"/>
      <c r="AH34" s="1197"/>
      <c r="AI34" s="1197"/>
      <c r="AJ34" s="1197"/>
      <c r="AK34" s="1197"/>
      <c r="AL34" s="1197"/>
      <c r="AM34" s="1198"/>
    </row>
    <row r="35" spans="1:39" ht="65.25" customHeight="1">
      <c r="B35" s="1200"/>
      <c r="C35" s="1202"/>
      <c r="D35" s="285">
        <v>2015</v>
      </c>
      <c r="E35" s="285">
        <v>2016</v>
      </c>
      <c r="F35" s="285">
        <v>2017</v>
      </c>
      <c r="G35" s="285">
        <v>2018</v>
      </c>
      <c r="H35" s="285">
        <v>2019</v>
      </c>
      <c r="I35" s="285">
        <v>2020</v>
      </c>
      <c r="J35" s="285">
        <v>2021</v>
      </c>
      <c r="K35" s="285">
        <v>2022</v>
      </c>
      <c r="L35" s="285">
        <v>2023</v>
      </c>
      <c r="M35" s="426">
        <v>2024</v>
      </c>
      <c r="N35" s="1207"/>
      <c r="O35" s="285">
        <v>2015</v>
      </c>
      <c r="P35" s="285">
        <v>2016</v>
      </c>
      <c r="Q35" s="285">
        <v>2017</v>
      </c>
      <c r="R35" s="285">
        <v>2018</v>
      </c>
      <c r="S35" s="285">
        <v>2019</v>
      </c>
      <c r="T35" s="285">
        <v>2020</v>
      </c>
      <c r="U35" s="285">
        <v>2021</v>
      </c>
      <c r="V35" s="285">
        <v>2022</v>
      </c>
      <c r="W35" s="285">
        <v>2023</v>
      </c>
      <c r="X35" s="426">
        <v>2024</v>
      </c>
      <c r="Y35" s="285" t="str">
        <f>'1.  LRAMVA Summary'!D52</f>
        <v>Residential</v>
      </c>
      <c r="Z35" s="285" t="str">
        <f>'1.  LRAMVA Summary'!E52</f>
        <v>GS&lt;50 kW</v>
      </c>
      <c r="AA35" s="285" t="str">
        <f>'1.  LRAMVA Summary'!F52</f>
        <v>GS&gt; 50 kW</v>
      </c>
      <c r="AB35" s="285" t="str">
        <f>'1.  LRAMVA Summary'!G52</f>
        <v>Streetlighting kW</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3"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17">
        <v>1</v>
      </c>
      <c r="B38" s="515" t="s">
        <v>95</v>
      </c>
      <c r="C38" s="291" t="s">
        <v>25</v>
      </c>
      <c r="D38" s="295">
        <f>+'7.  Persistence Report'!AU157</f>
        <v>850456</v>
      </c>
      <c r="E38" s="295">
        <f>+'7.  Persistence Report'!AV157</f>
        <v>842572</v>
      </c>
      <c r="F38" s="295">
        <f>+'7.  Persistence Report'!AW157</f>
        <v>842572</v>
      </c>
      <c r="G38" s="295">
        <f>+'7.  Persistence Report'!AX157</f>
        <v>842572</v>
      </c>
      <c r="H38" s="295">
        <f>+'7.  Persistence Report'!AY157</f>
        <v>842572</v>
      </c>
      <c r="I38" s="295">
        <f>+'7.  Persistence Report'!AZ157</f>
        <v>842572</v>
      </c>
      <c r="J38" s="295">
        <f>+'7.  Persistence Report'!BA157</f>
        <v>842572</v>
      </c>
      <c r="K38" s="295">
        <f>+'7.  Persistence Report'!BB157</f>
        <v>842397</v>
      </c>
      <c r="L38" s="295">
        <f>+'7.  Persistence Report'!BC157</f>
        <v>842397</v>
      </c>
      <c r="M38" s="295">
        <f>+'7.  Persistence Report'!BD157</f>
        <v>842397</v>
      </c>
      <c r="N38" s="291"/>
      <c r="O38" s="295">
        <f>+'7.  Persistence Report'!P157</f>
        <v>56</v>
      </c>
      <c r="P38" s="295">
        <f>+'7.  Persistence Report'!Q157</f>
        <v>55</v>
      </c>
      <c r="Q38" s="295">
        <f>+'7.  Persistence Report'!R157</f>
        <v>55</v>
      </c>
      <c r="R38" s="295">
        <f>+'7.  Persistence Report'!S157</f>
        <v>55</v>
      </c>
      <c r="S38" s="295">
        <f>+'7.  Persistence Report'!T157</f>
        <v>55</v>
      </c>
      <c r="T38" s="295">
        <f>+'7.  Persistence Report'!U157</f>
        <v>55</v>
      </c>
      <c r="U38" s="295">
        <f>+'7.  Persistence Report'!V157</f>
        <v>55</v>
      </c>
      <c r="V38" s="295">
        <f>+'7.  Persistence Report'!W157</f>
        <v>55</v>
      </c>
      <c r="W38" s="295">
        <f>+'7.  Persistence Report'!X157</f>
        <v>55</v>
      </c>
      <c r="X38" s="295">
        <f>+'7.  Persistence Report'!Y157</f>
        <v>55</v>
      </c>
      <c r="Y38" s="772">
        <v>1</v>
      </c>
      <c r="Z38" s="409"/>
      <c r="AA38" s="409"/>
      <c r="AB38" s="409"/>
      <c r="AC38" s="409"/>
      <c r="AD38" s="409"/>
      <c r="AE38" s="409"/>
      <c r="AF38" s="409"/>
      <c r="AG38" s="409"/>
      <c r="AH38" s="409"/>
      <c r="AI38" s="409"/>
      <c r="AJ38" s="409"/>
      <c r="AK38" s="409"/>
      <c r="AL38" s="409"/>
      <c r="AM38" s="296">
        <f>SUM(Y38:AL38)</f>
        <v>1</v>
      </c>
    </row>
    <row r="39" spans="1:39" hidden="1" outlineLevel="1">
      <c r="B39" s="294" t="s">
        <v>267</v>
      </c>
      <c r="C39" s="291" t="s">
        <v>163</v>
      </c>
      <c r="D39" s="295">
        <f>+'7.  Persistence Report'!AU177</f>
        <v>139170</v>
      </c>
      <c r="E39" s="295">
        <f>+'7.  Persistence Report'!AV177</f>
        <v>137165</v>
      </c>
      <c r="F39" s="295">
        <f>+'7.  Persistence Report'!AW177</f>
        <v>137165</v>
      </c>
      <c r="G39" s="295">
        <f>+'7.  Persistence Report'!AX177</f>
        <v>137165</v>
      </c>
      <c r="H39" s="295">
        <f>+'7.  Persistence Report'!AY177</f>
        <v>137165</v>
      </c>
      <c r="I39" s="295">
        <f>+'7.  Persistence Report'!AZ177</f>
        <v>137165</v>
      </c>
      <c r="J39" s="295">
        <f>+'7.  Persistence Report'!BA177</f>
        <v>137165</v>
      </c>
      <c r="K39" s="295">
        <f>+'7.  Persistence Report'!BB177</f>
        <v>137110</v>
      </c>
      <c r="L39" s="295">
        <f>+'7.  Persistence Report'!BC177</f>
        <v>137110</v>
      </c>
      <c r="M39" s="295">
        <f>+'7.  Persistence Report'!BD177</f>
        <v>137110</v>
      </c>
      <c r="N39" s="464"/>
      <c r="O39" s="295">
        <f>+'7.  Persistence Report'!P177</f>
        <v>9</v>
      </c>
      <c r="P39" s="295">
        <f>+'7.  Persistence Report'!Q177</f>
        <v>9</v>
      </c>
      <c r="Q39" s="295">
        <f>+'7.  Persistence Report'!R177</f>
        <v>9</v>
      </c>
      <c r="R39" s="295">
        <f>+'7.  Persistence Report'!S177</f>
        <v>9</v>
      </c>
      <c r="S39" s="295">
        <f>+'7.  Persistence Report'!T177</f>
        <v>9</v>
      </c>
      <c r="T39" s="295">
        <f>+'7.  Persistence Report'!U177</f>
        <v>9</v>
      </c>
      <c r="U39" s="295">
        <f>+'7.  Persistence Report'!V177</f>
        <v>9</v>
      </c>
      <c r="V39" s="295">
        <f>+'7.  Persistence Report'!W177</f>
        <v>9</v>
      </c>
      <c r="W39" s="295">
        <f>+'7.  Persistence Report'!X177</f>
        <v>9</v>
      </c>
      <c r="X39" s="295">
        <f>+'7.  Persistence Report'!Y177</f>
        <v>9</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1"/>
      <c r="Z40" s="412"/>
      <c r="AA40" s="412"/>
      <c r="AB40" s="412"/>
      <c r="AC40" s="412"/>
      <c r="AD40" s="412"/>
      <c r="AE40" s="412"/>
      <c r="AF40" s="412"/>
      <c r="AG40" s="412"/>
      <c r="AH40" s="412"/>
      <c r="AI40" s="412"/>
      <c r="AJ40" s="412"/>
      <c r="AK40" s="412"/>
      <c r="AL40" s="412"/>
      <c r="AM40" s="302"/>
    </row>
    <row r="41" spans="1:39" ht="30" hidden="1" outlineLevel="1">
      <c r="A41" s="517">
        <v>2</v>
      </c>
      <c r="B41" s="515" t="s">
        <v>96</v>
      </c>
      <c r="C41" s="291" t="s">
        <v>25</v>
      </c>
      <c r="D41" s="295">
        <f>+'7.  Persistence Report'!AU158</f>
        <v>1505067</v>
      </c>
      <c r="E41" s="295">
        <f>+'7.  Persistence Report'!AV158</f>
        <v>1478319</v>
      </c>
      <c r="F41" s="295">
        <f>+'7.  Persistence Report'!AW158</f>
        <v>1478319</v>
      </c>
      <c r="G41" s="295">
        <f>+'7.  Persistence Report'!AX158</f>
        <v>1478319</v>
      </c>
      <c r="H41" s="295">
        <f>+'7.  Persistence Report'!AY158</f>
        <v>1478319</v>
      </c>
      <c r="I41" s="295">
        <f>+'7.  Persistence Report'!AZ158</f>
        <v>1478319</v>
      </c>
      <c r="J41" s="295">
        <f>+'7.  Persistence Report'!BA158</f>
        <v>1478319</v>
      </c>
      <c r="K41" s="295">
        <f>+'7.  Persistence Report'!BB158</f>
        <v>1477545</v>
      </c>
      <c r="L41" s="295">
        <f>+'7.  Persistence Report'!BC158</f>
        <v>1477545</v>
      </c>
      <c r="M41" s="295">
        <f>+'7.  Persistence Report'!BD158</f>
        <v>1477545</v>
      </c>
      <c r="N41" s="758"/>
      <c r="O41" s="295">
        <f>+'7.  Persistence Report'!P158</f>
        <v>102</v>
      </c>
      <c r="P41" s="295">
        <f>+'7.  Persistence Report'!Q158</f>
        <v>100</v>
      </c>
      <c r="Q41" s="295">
        <f>+'7.  Persistence Report'!R158</f>
        <v>100</v>
      </c>
      <c r="R41" s="295">
        <f>+'7.  Persistence Report'!S158</f>
        <v>100</v>
      </c>
      <c r="S41" s="295">
        <f>+'7.  Persistence Report'!T158</f>
        <v>100</v>
      </c>
      <c r="T41" s="295">
        <f>+'7.  Persistence Report'!U158</f>
        <v>100</v>
      </c>
      <c r="U41" s="295">
        <f>+'7.  Persistence Report'!V158</f>
        <v>100</v>
      </c>
      <c r="V41" s="295">
        <f>+'7.  Persistence Report'!W158</f>
        <v>100</v>
      </c>
      <c r="W41" s="295">
        <f>+'7.  Persistence Report'!X158</f>
        <v>100</v>
      </c>
      <c r="X41" s="295">
        <f>+'7.  Persistence Report'!Y158</f>
        <v>100</v>
      </c>
      <c r="Y41" s="772">
        <v>1</v>
      </c>
      <c r="Z41" s="409"/>
      <c r="AA41" s="409"/>
      <c r="AB41" s="409"/>
      <c r="AC41" s="409"/>
      <c r="AD41" s="409"/>
      <c r="AE41" s="409"/>
      <c r="AF41" s="409"/>
      <c r="AG41" s="409"/>
      <c r="AH41" s="409"/>
      <c r="AI41" s="409"/>
      <c r="AJ41" s="409"/>
      <c r="AK41" s="409"/>
      <c r="AL41" s="409"/>
      <c r="AM41" s="296">
        <f>SUM(Y41:AL41)</f>
        <v>1</v>
      </c>
    </row>
    <row r="42" spans="1:39" hidden="1" outlineLevel="1">
      <c r="B42" s="294" t="s">
        <v>267</v>
      </c>
      <c r="C42" s="291" t="s">
        <v>163</v>
      </c>
      <c r="D42" s="295">
        <f>+'7.  Persistence Report'!AU178</f>
        <v>15568</v>
      </c>
      <c r="E42" s="295">
        <f>+'7.  Persistence Report'!AV178</f>
        <v>15385</v>
      </c>
      <c r="F42" s="295">
        <f>+'7.  Persistence Report'!AW178</f>
        <v>15385</v>
      </c>
      <c r="G42" s="295">
        <f>+'7.  Persistence Report'!AX178</f>
        <v>15385</v>
      </c>
      <c r="H42" s="295">
        <f>+'7.  Persistence Report'!AY178</f>
        <v>15385</v>
      </c>
      <c r="I42" s="295">
        <f>+'7.  Persistence Report'!AZ178</f>
        <v>15385</v>
      </c>
      <c r="J42" s="295">
        <f>+'7.  Persistence Report'!BA178</f>
        <v>15385</v>
      </c>
      <c r="K42" s="295">
        <f>+'7.  Persistence Report'!BB178</f>
        <v>15347</v>
      </c>
      <c r="L42" s="295">
        <f>+'7.  Persistence Report'!BC178</f>
        <v>15347</v>
      </c>
      <c r="M42" s="295">
        <f>+'7.  Persistence Report'!BD178</f>
        <v>15347</v>
      </c>
      <c r="N42" s="759"/>
      <c r="O42" s="295">
        <f>+'7.  Persistence Report'!P178</f>
        <v>1</v>
      </c>
      <c r="P42" s="295">
        <f>+'7.  Persistence Report'!Q178</f>
        <v>1</v>
      </c>
      <c r="Q42" s="295">
        <f>+'7.  Persistence Report'!R178</f>
        <v>1</v>
      </c>
      <c r="R42" s="295">
        <f>+'7.  Persistence Report'!S178</f>
        <v>1</v>
      </c>
      <c r="S42" s="295">
        <f>+'7.  Persistence Report'!T178</f>
        <v>1</v>
      </c>
      <c r="T42" s="295">
        <f>+'7.  Persistence Report'!U178</f>
        <v>1</v>
      </c>
      <c r="U42" s="295">
        <f>+'7.  Persistence Report'!V178</f>
        <v>1</v>
      </c>
      <c r="V42" s="295">
        <f>+'7.  Persistence Report'!W178</f>
        <v>1</v>
      </c>
      <c r="W42" s="295">
        <f>+'7.  Persistence Report'!X178</f>
        <v>1</v>
      </c>
      <c r="X42" s="295">
        <f>+'7.  Persistence Report'!Y178</f>
        <v>1</v>
      </c>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7"/>
    </row>
    <row r="43" spans="1:39" ht="15.75" hidden="1" outlineLevel="1">
      <c r="B43" s="298"/>
      <c r="C43" s="299"/>
      <c r="D43" s="760"/>
      <c r="E43" s="760"/>
      <c r="F43" s="760"/>
      <c r="G43" s="760"/>
      <c r="H43" s="760"/>
      <c r="I43" s="760"/>
      <c r="J43" s="760"/>
      <c r="K43" s="760"/>
      <c r="L43" s="760"/>
      <c r="M43" s="760"/>
      <c r="N43" s="761"/>
      <c r="O43" s="760"/>
      <c r="P43" s="760"/>
      <c r="Q43" s="760"/>
      <c r="R43" s="760"/>
      <c r="S43" s="760"/>
      <c r="T43" s="760"/>
      <c r="U43" s="760"/>
      <c r="V43" s="760"/>
      <c r="W43" s="760"/>
      <c r="X43" s="760"/>
      <c r="Y43" s="411"/>
      <c r="Z43" s="412"/>
      <c r="AA43" s="412"/>
      <c r="AB43" s="412"/>
      <c r="AC43" s="412"/>
      <c r="AD43" s="412"/>
      <c r="AE43" s="412"/>
      <c r="AF43" s="412"/>
      <c r="AG43" s="412"/>
      <c r="AH43" s="412"/>
      <c r="AI43" s="412"/>
      <c r="AJ43" s="412"/>
      <c r="AK43" s="412"/>
      <c r="AL43" s="412"/>
      <c r="AM43" s="302"/>
    </row>
    <row r="44" spans="1:39" ht="30" hidden="1" outlineLevel="1">
      <c r="A44" s="517">
        <v>3</v>
      </c>
      <c r="B44" s="515" t="s">
        <v>97</v>
      </c>
      <c r="C44" s="291" t="s">
        <v>25</v>
      </c>
      <c r="D44" s="295">
        <f>+'7.  Persistence Report'!AU159</f>
        <v>23118</v>
      </c>
      <c r="E44" s="295">
        <f>+'7.  Persistence Report'!AV159</f>
        <v>23118</v>
      </c>
      <c r="F44" s="295">
        <f>+'7.  Persistence Report'!AW159</f>
        <v>23118</v>
      </c>
      <c r="G44" s="295">
        <f>+'7.  Persistence Report'!AX159</f>
        <v>23014</v>
      </c>
      <c r="H44" s="295">
        <f>+'7.  Persistence Report'!AY159</f>
        <v>10988</v>
      </c>
      <c r="I44" s="295">
        <f>+'7.  Persistence Report'!AZ159</f>
        <v>0</v>
      </c>
      <c r="J44" s="295">
        <f>+'7.  Persistence Report'!BA159</f>
        <v>0</v>
      </c>
      <c r="K44" s="295">
        <f>+'7.  Persistence Report'!BB159</f>
        <v>0</v>
      </c>
      <c r="L44" s="295">
        <f>+'7.  Persistence Report'!BC159</f>
        <v>0</v>
      </c>
      <c r="M44" s="295">
        <f>+'7.  Persistence Report'!BD159</f>
        <v>0</v>
      </c>
      <c r="N44" s="758"/>
      <c r="O44" s="295">
        <f>+'7.  Persistence Report'!P159</f>
        <v>4</v>
      </c>
      <c r="P44" s="295">
        <f>+'7.  Persistence Report'!Q159</f>
        <v>4</v>
      </c>
      <c r="Q44" s="295">
        <f>+'7.  Persistence Report'!R159</f>
        <v>4</v>
      </c>
      <c r="R44" s="295">
        <f>+'7.  Persistence Report'!S159</f>
        <v>3</v>
      </c>
      <c r="S44" s="295">
        <f>+'7.  Persistence Report'!T159</f>
        <v>2</v>
      </c>
      <c r="T44" s="295">
        <f>+'7.  Persistence Report'!U159</f>
        <v>0</v>
      </c>
      <c r="U44" s="295">
        <f>+'7.  Persistence Report'!V159</f>
        <v>0</v>
      </c>
      <c r="V44" s="295">
        <f>+'7.  Persistence Report'!W159</f>
        <v>0</v>
      </c>
      <c r="W44" s="295">
        <f>+'7.  Persistence Report'!X159</f>
        <v>0</v>
      </c>
      <c r="X44" s="295">
        <f>+'7.  Persistence Report'!Y159</f>
        <v>0</v>
      </c>
      <c r="Y44" s="772">
        <v>1</v>
      </c>
      <c r="Z44" s="409"/>
      <c r="AA44" s="409"/>
      <c r="AB44" s="409"/>
      <c r="AC44" s="409"/>
      <c r="AD44" s="409"/>
      <c r="AE44" s="409"/>
      <c r="AF44" s="409"/>
      <c r="AG44" s="409"/>
      <c r="AH44" s="409"/>
      <c r="AI44" s="409"/>
      <c r="AJ44" s="409"/>
      <c r="AK44" s="409"/>
      <c r="AL44" s="409"/>
      <c r="AM44" s="296">
        <f>SUM(Y44:AL44)</f>
        <v>1</v>
      </c>
    </row>
    <row r="45" spans="1:39" hidden="1" outlineLevel="1">
      <c r="B45" s="294" t="s">
        <v>267</v>
      </c>
      <c r="C45" s="291" t="s">
        <v>163</v>
      </c>
      <c r="D45" s="295"/>
      <c r="E45" s="295"/>
      <c r="F45" s="295"/>
      <c r="G45" s="295"/>
      <c r="H45" s="295"/>
      <c r="I45" s="295"/>
      <c r="J45" s="295"/>
      <c r="K45" s="295"/>
      <c r="L45" s="295"/>
      <c r="M45" s="295"/>
      <c r="N45" s="759"/>
      <c r="O45" s="295"/>
      <c r="P45" s="295"/>
      <c r="Q45" s="295"/>
      <c r="R45" s="295"/>
      <c r="S45" s="295"/>
      <c r="T45" s="295"/>
      <c r="U45" s="295"/>
      <c r="V45" s="295"/>
      <c r="W45" s="295"/>
      <c r="X45" s="295"/>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7"/>
    </row>
    <row r="46" spans="1:39" hidden="1" outlineLevel="1">
      <c r="B46" s="294"/>
      <c r="C46" s="305"/>
      <c r="D46" s="758"/>
      <c r="E46" s="758"/>
      <c r="F46" s="758"/>
      <c r="G46" s="758"/>
      <c r="H46" s="758"/>
      <c r="I46" s="758"/>
      <c r="J46" s="758"/>
      <c r="K46" s="758"/>
      <c r="L46" s="758"/>
      <c r="M46" s="758"/>
      <c r="N46" s="758"/>
      <c r="O46" s="758"/>
      <c r="P46" s="758"/>
      <c r="Q46" s="758"/>
      <c r="R46" s="758"/>
      <c r="S46" s="758"/>
      <c r="T46" s="758"/>
      <c r="U46" s="758"/>
      <c r="V46" s="758"/>
      <c r="W46" s="758"/>
      <c r="X46" s="758"/>
      <c r="Y46" s="411"/>
      <c r="Z46" s="411"/>
      <c r="AA46" s="411"/>
      <c r="AB46" s="411"/>
      <c r="AC46" s="411"/>
      <c r="AD46" s="411"/>
      <c r="AE46" s="411"/>
      <c r="AF46" s="411"/>
      <c r="AG46" s="411"/>
      <c r="AH46" s="411"/>
      <c r="AI46" s="411"/>
      <c r="AJ46" s="411"/>
      <c r="AK46" s="411"/>
      <c r="AL46" s="411"/>
      <c r="AM46" s="306"/>
    </row>
    <row r="47" spans="1:39" hidden="1" outlineLevel="1">
      <c r="A47" s="517">
        <v>4</v>
      </c>
      <c r="B47" s="515" t="s">
        <v>672</v>
      </c>
      <c r="C47" s="291" t="s">
        <v>25</v>
      </c>
      <c r="D47" s="295">
        <f>+'7.  Persistence Report'!AU160</f>
        <v>1135517</v>
      </c>
      <c r="E47" s="295">
        <f>+'7.  Persistence Report'!AV160</f>
        <v>1135517</v>
      </c>
      <c r="F47" s="295">
        <f>+'7.  Persistence Report'!AW160</f>
        <v>1135517</v>
      </c>
      <c r="G47" s="295">
        <f>+'7.  Persistence Report'!AX160</f>
        <v>1135517</v>
      </c>
      <c r="H47" s="295">
        <f>+'7.  Persistence Report'!AY160</f>
        <v>1135517</v>
      </c>
      <c r="I47" s="295">
        <f>+'7.  Persistence Report'!AZ160</f>
        <v>1135517</v>
      </c>
      <c r="J47" s="295">
        <f>+'7.  Persistence Report'!BA160</f>
        <v>1135517</v>
      </c>
      <c r="K47" s="295">
        <f>+'7.  Persistence Report'!BB160</f>
        <v>1135517</v>
      </c>
      <c r="L47" s="295">
        <f>+'7.  Persistence Report'!BC160</f>
        <v>1135517</v>
      </c>
      <c r="M47" s="295">
        <f>+'7.  Persistence Report'!BD160</f>
        <v>1135517</v>
      </c>
      <c r="N47" s="758"/>
      <c r="O47" s="295">
        <f>+'7.  Persistence Report'!P160</f>
        <v>596</v>
      </c>
      <c r="P47" s="295">
        <f>+'7.  Persistence Report'!Q160</f>
        <v>596</v>
      </c>
      <c r="Q47" s="295">
        <f>+'7.  Persistence Report'!R160</f>
        <v>596</v>
      </c>
      <c r="R47" s="295">
        <f>+'7.  Persistence Report'!S160</f>
        <v>596</v>
      </c>
      <c r="S47" s="295">
        <f>+'7.  Persistence Report'!T160</f>
        <v>596</v>
      </c>
      <c r="T47" s="295">
        <f>+'7.  Persistence Report'!U160</f>
        <v>596</v>
      </c>
      <c r="U47" s="295">
        <f>+'7.  Persistence Report'!V160</f>
        <v>596</v>
      </c>
      <c r="V47" s="295">
        <f>+'7.  Persistence Report'!W160</f>
        <v>596</v>
      </c>
      <c r="W47" s="295">
        <f>+'7.  Persistence Report'!X160</f>
        <v>596</v>
      </c>
      <c r="X47" s="295">
        <f>+'7.  Persistence Report'!Y160</f>
        <v>596</v>
      </c>
      <c r="Y47" s="772">
        <v>0.98</v>
      </c>
      <c r="Z47" s="772">
        <v>0.02</v>
      </c>
      <c r="AA47" s="409"/>
      <c r="AB47" s="409"/>
      <c r="AC47" s="409"/>
      <c r="AD47" s="409"/>
      <c r="AE47" s="409"/>
      <c r="AF47" s="409"/>
      <c r="AG47" s="409"/>
      <c r="AH47" s="409"/>
      <c r="AI47" s="409"/>
      <c r="AJ47" s="409"/>
      <c r="AK47" s="409"/>
      <c r="AL47" s="409"/>
      <c r="AM47" s="296">
        <f>SUM(Y47:AL47)</f>
        <v>1</v>
      </c>
    </row>
    <row r="48" spans="1:39" hidden="1" outlineLevel="1">
      <c r="B48" s="294" t="s">
        <v>267</v>
      </c>
      <c r="C48" s="291" t="s">
        <v>163</v>
      </c>
      <c r="D48" s="295">
        <f>+'7.  Persistence Report'!AU179</f>
        <v>27280</v>
      </c>
      <c r="E48" s="295">
        <f>+'7.  Persistence Report'!AV179</f>
        <v>27280</v>
      </c>
      <c r="F48" s="295">
        <f>+'7.  Persistence Report'!AW179</f>
        <v>27280</v>
      </c>
      <c r="G48" s="295">
        <f>+'7.  Persistence Report'!AX179</f>
        <v>27280</v>
      </c>
      <c r="H48" s="295">
        <f>+'7.  Persistence Report'!AY179</f>
        <v>27280</v>
      </c>
      <c r="I48" s="295">
        <f>+'7.  Persistence Report'!AZ179</f>
        <v>27280</v>
      </c>
      <c r="J48" s="295">
        <f>+'7.  Persistence Report'!BA179</f>
        <v>27280</v>
      </c>
      <c r="K48" s="295">
        <f>+'7.  Persistence Report'!BB179</f>
        <v>27280</v>
      </c>
      <c r="L48" s="295">
        <f>+'7.  Persistence Report'!BC179</f>
        <v>27280</v>
      </c>
      <c r="M48" s="295">
        <f>+'7.  Persistence Report'!BD179</f>
        <v>27280</v>
      </c>
      <c r="N48" s="759"/>
      <c r="O48" s="295">
        <f>+'7.  Persistence Report'!P179</f>
        <v>14</v>
      </c>
      <c r="P48" s="295">
        <f>+'7.  Persistence Report'!Q179</f>
        <v>14</v>
      </c>
      <c r="Q48" s="295">
        <f>+'7.  Persistence Report'!R179</f>
        <v>14</v>
      </c>
      <c r="R48" s="295">
        <f>+'7.  Persistence Report'!S179</f>
        <v>14</v>
      </c>
      <c r="S48" s="295">
        <f>+'7.  Persistence Report'!T179</f>
        <v>14</v>
      </c>
      <c r="T48" s="295">
        <f>+'7.  Persistence Report'!U179</f>
        <v>14</v>
      </c>
      <c r="U48" s="295">
        <f>+'7.  Persistence Report'!V179</f>
        <v>14</v>
      </c>
      <c r="V48" s="295">
        <f>+'7.  Persistence Report'!W179</f>
        <v>14</v>
      </c>
      <c r="W48" s="295">
        <f>+'7.  Persistence Report'!X179</f>
        <v>14</v>
      </c>
      <c r="X48" s="295">
        <f>+'7.  Persistence Report'!Y179</f>
        <v>14</v>
      </c>
      <c r="Y48" s="410">
        <f>Y47</f>
        <v>0.98</v>
      </c>
      <c r="Z48" s="410">
        <f t="shared" ref="Z48" si="27">Z47</f>
        <v>0.02</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7"/>
    </row>
    <row r="49" spans="1:39" hidden="1" outlineLevel="1">
      <c r="B49" s="294"/>
      <c r="C49" s="305"/>
      <c r="D49" s="760"/>
      <c r="E49" s="760"/>
      <c r="F49" s="760"/>
      <c r="G49" s="760"/>
      <c r="H49" s="760"/>
      <c r="I49" s="760"/>
      <c r="J49" s="760"/>
      <c r="K49" s="760"/>
      <c r="L49" s="760"/>
      <c r="M49" s="760"/>
      <c r="N49" s="758"/>
      <c r="O49" s="760"/>
      <c r="P49" s="760"/>
      <c r="Q49" s="760"/>
      <c r="R49" s="760"/>
      <c r="S49" s="760"/>
      <c r="T49" s="760"/>
      <c r="U49" s="760"/>
      <c r="V49" s="760"/>
      <c r="W49" s="760"/>
      <c r="X49" s="760"/>
      <c r="Y49" s="411"/>
      <c r="Z49" s="411"/>
      <c r="AA49" s="411"/>
      <c r="AB49" s="411"/>
      <c r="AC49" s="411"/>
      <c r="AD49" s="411"/>
      <c r="AE49" s="411"/>
      <c r="AF49" s="411"/>
      <c r="AG49" s="411"/>
      <c r="AH49" s="411"/>
      <c r="AI49" s="411"/>
      <c r="AJ49" s="411"/>
      <c r="AK49" s="411"/>
      <c r="AL49" s="411"/>
      <c r="AM49" s="306"/>
    </row>
    <row r="50" spans="1:39" ht="18" hidden="1" customHeight="1" outlineLevel="1">
      <c r="A50" s="517">
        <v>5</v>
      </c>
      <c r="B50" s="515" t="s">
        <v>98</v>
      </c>
      <c r="C50" s="291" t="s">
        <v>25</v>
      </c>
      <c r="D50" s="295">
        <f>+'7.  Persistence Report'!AU161</f>
        <v>388014</v>
      </c>
      <c r="E50" s="295">
        <f>+'7.  Persistence Report'!AV161</f>
        <v>388014</v>
      </c>
      <c r="F50" s="295">
        <f>+'7.  Persistence Report'!AW161</f>
        <v>388014</v>
      </c>
      <c r="G50" s="295">
        <f>+'7.  Persistence Report'!AX161</f>
        <v>388014</v>
      </c>
      <c r="H50" s="295">
        <f>+'7.  Persistence Report'!AY161</f>
        <v>388014</v>
      </c>
      <c r="I50" s="295">
        <f>+'7.  Persistence Report'!AZ161</f>
        <v>388014</v>
      </c>
      <c r="J50" s="295">
        <f>+'7.  Persistence Report'!BA161</f>
        <v>388014</v>
      </c>
      <c r="K50" s="295">
        <f>+'7.  Persistence Report'!BB161</f>
        <v>388014</v>
      </c>
      <c r="L50" s="295">
        <f>+'7.  Persistence Report'!BC161</f>
        <v>388014</v>
      </c>
      <c r="M50" s="295">
        <f>+'7.  Persistence Report'!BD161</f>
        <v>388014</v>
      </c>
      <c r="N50" s="758"/>
      <c r="O50" s="295">
        <f>+'7.  Persistence Report'!P161</f>
        <v>72</v>
      </c>
      <c r="P50" s="295">
        <f>+'7.  Persistence Report'!Q161</f>
        <v>72</v>
      </c>
      <c r="Q50" s="295">
        <f>+'7.  Persistence Report'!R161</f>
        <v>72</v>
      </c>
      <c r="R50" s="295">
        <f>+'7.  Persistence Report'!S161</f>
        <v>72</v>
      </c>
      <c r="S50" s="295">
        <f>+'7.  Persistence Report'!T161</f>
        <v>72</v>
      </c>
      <c r="T50" s="295">
        <f>+'7.  Persistence Report'!U161</f>
        <v>72</v>
      </c>
      <c r="U50" s="295">
        <f>+'7.  Persistence Report'!V161</f>
        <v>72</v>
      </c>
      <c r="V50" s="295">
        <f>+'7.  Persistence Report'!W161</f>
        <v>72</v>
      </c>
      <c r="W50" s="295">
        <f>+'7.  Persistence Report'!X161</f>
        <v>72</v>
      </c>
      <c r="X50" s="295">
        <f>+'7.  Persistence Report'!Y161</f>
        <v>72</v>
      </c>
      <c r="Y50" s="772">
        <v>1</v>
      </c>
      <c r="Z50" s="409"/>
      <c r="AA50" s="409"/>
      <c r="AB50" s="409"/>
      <c r="AC50" s="409"/>
      <c r="AD50" s="409"/>
      <c r="AE50" s="409"/>
      <c r="AF50" s="409"/>
      <c r="AG50" s="409"/>
      <c r="AH50" s="409"/>
      <c r="AI50" s="409"/>
      <c r="AJ50" s="409"/>
      <c r="AK50" s="409"/>
      <c r="AL50" s="409"/>
      <c r="AM50" s="296">
        <f>SUM(Y50:AL50)</f>
        <v>1</v>
      </c>
    </row>
    <row r="51" spans="1:39" hidden="1" outlineLevel="1">
      <c r="B51" s="294" t="s">
        <v>267</v>
      </c>
      <c r="C51" s="291" t="s">
        <v>163</v>
      </c>
      <c r="D51" s="295">
        <f>+'7.  Persistence Report'!AU180</f>
        <v>16409</v>
      </c>
      <c r="E51" s="295">
        <f>+'7.  Persistence Report'!AV180</f>
        <v>16409</v>
      </c>
      <c r="F51" s="295">
        <f>+'7.  Persistence Report'!AW180</f>
        <v>16409</v>
      </c>
      <c r="G51" s="295">
        <f>+'7.  Persistence Report'!AX180</f>
        <v>16409</v>
      </c>
      <c r="H51" s="295">
        <f>+'7.  Persistence Report'!AY180</f>
        <v>16409</v>
      </c>
      <c r="I51" s="295">
        <f>+'7.  Persistence Report'!AZ180</f>
        <v>16409</v>
      </c>
      <c r="J51" s="295">
        <f>+'7.  Persistence Report'!BA180</f>
        <v>16409</v>
      </c>
      <c r="K51" s="295">
        <f>+'7.  Persistence Report'!BB180</f>
        <v>16409</v>
      </c>
      <c r="L51" s="295">
        <f>+'7.  Persistence Report'!BC180</f>
        <v>16409</v>
      </c>
      <c r="M51" s="295">
        <f>+'7.  Persistence Report'!BD180</f>
        <v>16409</v>
      </c>
      <c r="N51" s="759"/>
      <c r="O51" s="295">
        <f>+'7.  Persistence Report'!P180</f>
        <v>1</v>
      </c>
      <c r="P51" s="295">
        <f>+'7.  Persistence Report'!Q180</f>
        <v>1</v>
      </c>
      <c r="Q51" s="295">
        <f>+'7.  Persistence Report'!R180</f>
        <v>1</v>
      </c>
      <c r="R51" s="295">
        <f>+'7.  Persistence Report'!S180</f>
        <v>1</v>
      </c>
      <c r="S51" s="295">
        <f>+'7.  Persistence Report'!T180</f>
        <v>1</v>
      </c>
      <c r="T51" s="295">
        <f>+'7.  Persistence Report'!U180</f>
        <v>1</v>
      </c>
      <c r="U51" s="295">
        <f>+'7.  Persistence Report'!V180</f>
        <v>1</v>
      </c>
      <c r="V51" s="295">
        <f>+'7.  Persistence Report'!W180</f>
        <v>1</v>
      </c>
      <c r="W51" s="295">
        <f>+'7.  Persistence Report'!X180</f>
        <v>1</v>
      </c>
      <c r="X51" s="295">
        <f>+'7.  Persistence Report'!Y180</f>
        <v>1</v>
      </c>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7"/>
    </row>
    <row r="52" spans="1:39" hidden="1" outlineLevel="1">
      <c r="B52" s="294"/>
      <c r="C52" s="291"/>
      <c r="D52" s="758"/>
      <c r="E52" s="758"/>
      <c r="F52" s="758"/>
      <c r="G52" s="758"/>
      <c r="H52" s="758"/>
      <c r="I52" s="758"/>
      <c r="J52" s="758"/>
      <c r="K52" s="758"/>
      <c r="L52" s="758"/>
      <c r="M52" s="758"/>
      <c r="N52" s="758"/>
      <c r="O52" s="758"/>
      <c r="P52" s="758"/>
      <c r="Q52" s="758"/>
      <c r="R52" s="758"/>
      <c r="S52" s="758"/>
      <c r="T52" s="758"/>
      <c r="U52" s="758"/>
      <c r="V52" s="758"/>
      <c r="W52" s="758"/>
      <c r="X52" s="758"/>
      <c r="Y52" s="419"/>
      <c r="Z52" s="420"/>
      <c r="AA52" s="420"/>
      <c r="AB52" s="420"/>
      <c r="AC52" s="420"/>
      <c r="AD52" s="420"/>
      <c r="AE52" s="420"/>
      <c r="AF52" s="420"/>
      <c r="AG52" s="420"/>
      <c r="AH52" s="420"/>
      <c r="AI52" s="420"/>
      <c r="AJ52" s="420"/>
      <c r="AK52" s="420"/>
      <c r="AL52" s="420"/>
      <c r="AM52" s="297"/>
    </row>
    <row r="53" spans="1:39" ht="37.5" hidden="1" customHeight="1" outlineLevel="1">
      <c r="B53" s="318" t="s">
        <v>498</v>
      </c>
      <c r="C53" s="289"/>
      <c r="D53" s="762"/>
      <c r="E53" s="762"/>
      <c r="F53" s="762"/>
      <c r="G53" s="762"/>
      <c r="H53" s="762"/>
      <c r="I53" s="762"/>
      <c r="J53" s="762"/>
      <c r="K53" s="762"/>
      <c r="L53" s="762"/>
      <c r="M53" s="762"/>
      <c r="N53" s="763"/>
      <c r="O53" s="762"/>
      <c r="P53" s="762"/>
      <c r="Q53" s="762"/>
      <c r="R53" s="762"/>
      <c r="S53" s="762"/>
      <c r="T53" s="762"/>
      <c r="U53" s="762"/>
      <c r="V53" s="762"/>
      <c r="W53" s="762"/>
      <c r="X53" s="762"/>
      <c r="Y53" s="413"/>
      <c r="Z53" s="413"/>
      <c r="AA53" s="413"/>
      <c r="AB53" s="413"/>
      <c r="AC53" s="413"/>
      <c r="AD53" s="413"/>
      <c r="AE53" s="413"/>
      <c r="AF53" s="413"/>
      <c r="AG53" s="413"/>
      <c r="AH53" s="413"/>
      <c r="AI53" s="413"/>
      <c r="AJ53" s="413"/>
      <c r="AK53" s="413"/>
      <c r="AL53" s="413"/>
      <c r="AM53" s="292"/>
    </row>
    <row r="54" spans="1:39" hidden="1" outlineLevel="1">
      <c r="A54" s="517">
        <v>6</v>
      </c>
      <c r="B54" s="515" t="s">
        <v>99</v>
      </c>
      <c r="C54" s="291" t="s">
        <v>25</v>
      </c>
      <c r="D54" s="295">
        <f>+'7.  Persistence Report'!AU162</f>
        <v>0</v>
      </c>
      <c r="E54" s="295">
        <f>+'7.  Persistence Report'!AV162</f>
        <v>0</v>
      </c>
      <c r="F54" s="295">
        <f>+'7.  Persistence Report'!AW162</f>
        <v>0</v>
      </c>
      <c r="G54" s="295">
        <f>+'7.  Persistence Report'!AX162</f>
        <v>0</v>
      </c>
      <c r="H54" s="295">
        <f>+'7.  Persistence Report'!AY162</f>
        <v>0</v>
      </c>
      <c r="I54" s="295">
        <f>+'7.  Persistence Report'!AZ162</f>
        <v>0</v>
      </c>
      <c r="J54" s="295">
        <f>+'7.  Persistence Report'!BA162</f>
        <v>0</v>
      </c>
      <c r="K54" s="295">
        <f>+'7.  Persistence Report'!BB162</f>
        <v>0</v>
      </c>
      <c r="L54" s="295">
        <f>+'7.  Persistence Report'!BC162</f>
        <v>0</v>
      </c>
      <c r="M54" s="295">
        <f>+'7.  Persistence Report'!BD162</f>
        <v>0</v>
      </c>
      <c r="N54" s="295">
        <v>12</v>
      </c>
      <c r="O54" s="295">
        <f>+'7.  Persistence Report'!P162</f>
        <v>0</v>
      </c>
      <c r="P54" s="295">
        <f>+'7.  Persistence Report'!Q162</f>
        <v>0</v>
      </c>
      <c r="Q54" s="295">
        <f>+'7.  Persistence Report'!R162</f>
        <v>0</v>
      </c>
      <c r="R54" s="295">
        <f>+'7.  Persistence Report'!S162</f>
        <v>0</v>
      </c>
      <c r="S54" s="295">
        <f>+'7.  Persistence Report'!T162</f>
        <v>0</v>
      </c>
      <c r="T54" s="295">
        <f>+'7.  Persistence Report'!U162</f>
        <v>0</v>
      </c>
      <c r="U54" s="295">
        <f>+'7.  Persistence Report'!V162</f>
        <v>0</v>
      </c>
      <c r="V54" s="295">
        <f>+'7.  Persistence Report'!W162</f>
        <v>0</v>
      </c>
      <c r="W54" s="295">
        <f>+'7.  Persistence Report'!X162</f>
        <v>0</v>
      </c>
      <c r="X54" s="295">
        <f>+'7.  Persistence Report'!Y162</f>
        <v>0</v>
      </c>
      <c r="Y54" s="414"/>
      <c r="Z54" s="772">
        <v>1</v>
      </c>
      <c r="AA54" s="772">
        <v>0</v>
      </c>
      <c r="AB54" s="409"/>
      <c r="AC54" s="409"/>
      <c r="AD54" s="409"/>
      <c r="AE54" s="409"/>
      <c r="AF54" s="414"/>
      <c r="AG54" s="414"/>
      <c r="AH54" s="414"/>
      <c r="AI54" s="414"/>
      <c r="AJ54" s="414"/>
      <c r="AK54" s="414"/>
      <c r="AL54" s="414"/>
      <c r="AM54" s="296">
        <f>SUM(Y54:AL54)</f>
        <v>1</v>
      </c>
    </row>
    <row r="55" spans="1:39" hidden="1" outlineLevel="1">
      <c r="B55" s="294" t="s">
        <v>267</v>
      </c>
      <c r="C55" s="291" t="s">
        <v>163</v>
      </c>
      <c r="D55" s="295">
        <f>+'7.  Persistence Report'!AU181</f>
        <v>1140998</v>
      </c>
      <c r="E55" s="295">
        <f>+'7.  Persistence Report'!AV181</f>
        <v>1140998</v>
      </c>
      <c r="F55" s="295">
        <f>+'7.  Persistence Report'!AW181</f>
        <v>1140998</v>
      </c>
      <c r="G55" s="295">
        <f>+'7.  Persistence Report'!AX181</f>
        <v>1140998</v>
      </c>
      <c r="H55" s="295">
        <f>+'7.  Persistence Report'!AY181</f>
        <v>1140998</v>
      </c>
      <c r="I55" s="295">
        <f>+'7.  Persistence Report'!AZ181</f>
        <v>1140998</v>
      </c>
      <c r="J55" s="295">
        <f>+'7.  Persistence Report'!BA181</f>
        <v>1140998</v>
      </c>
      <c r="K55" s="295">
        <f>+'7.  Persistence Report'!BB181</f>
        <v>1140998</v>
      </c>
      <c r="L55" s="295">
        <f>+'7.  Persistence Report'!BC181</f>
        <v>1140998</v>
      </c>
      <c r="M55" s="295">
        <f>+'7.  Persistence Report'!BD181</f>
        <v>1140998</v>
      </c>
      <c r="N55" s="295">
        <f>N54</f>
        <v>12</v>
      </c>
      <c r="O55" s="295">
        <f>+'7.  Persistence Report'!P181</f>
        <v>243</v>
      </c>
      <c r="P55" s="295">
        <f>+'7.  Persistence Report'!Q181</f>
        <v>243</v>
      </c>
      <c r="Q55" s="295">
        <f>+'7.  Persistence Report'!R181</f>
        <v>243</v>
      </c>
      <c r="R55" s="295">
        <f>+'7.  Persistence Report'!S181</f>
        <v>243</v>
      </c>
      <c r="S55" s="295">
        <f>+'7.  Persistence Report'!T181</f>
        <v>277</v>
      </c>
      <c r="T55" s="295">
        <f>+'7.  Persistence Report'!U181</f>
        <v>277</v>
      </c>
      <c r="U55" s="295">
        <f>+'7.  Persistence Report'!V181</f>
        <v>277</v>
      </c>
      <c r="V55" s="295">
        <f>+'7.  Persistence Report'!W181</f>
        <v>277</v>
      </c>
      <c r="W55" s="295">
        <f>+'7.  Persistence Report'!X181</f>
        <v>277</v>
      </c>
      <c r="X55" s="295">
        <f>+'7.  Persistence Report'!Y181</f>
        <v>277</v>
      </c>
      <c r="Y55" s="410">
        <f>Y54</f>
        <v>0</v>
      </c>
      <c r="Z55" s="410">
        <f t="shared" ref="Z55" si="53">Z54</f>
        <v>1</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1"/>
    </row>
    <row r="56" spans="1:39" hidden="1" outlineLevel="1">
      <c r="B56" s="310"/>
      <c r="C56" s="312"/>
      <c r="D56" s="758"/>
      <c r="E56" s="758"/>
      <c r="F56" s="758"/>
      <c r="G56" s="758"/>
      <c r="H56" s="758"/>
      <c r="I56" s="758"/>
      <c r="J56" s="758"/>
      <c r="K56" s="758"/>
      <c r="L56" s="758"/>
      <c r="M56" s="758"/>
      <c r="N56" s="758"/>
      <c r="O56" s="758"/>
      <c r="P56" s="758"/>
      <c r="Q56" s="758"/>
      <c r="R56" s="758"/>
      <c r="S56" s="758"/>
      <c r="T56" s="758"/>
      <c r="U56" s="758"/>
      <c r="V56" s="758"/>
      <c r="W56" s="758"/>
      <c r="X56" s="758"/>
      <c r="Y56" s="415"/>
      <c r="Z56" s="415"/>
      <c r="AA56" s="415"/>
      <c r="AB56" s="415"/>
      <c r="AC56" s="415"/>
      <c r="AD56" s="415"/>
      <c r="AE56" s="415"/>
      <c r="AF56" s="415"/>
      <c r="AG56" s="415"/>
      <c r="AH56" s="415"/>
      <c r="AI56" s="415"/>
      <c r="AJ56" s="415"/>
      <c r="AK56" s="415"/>
      <c r="AL56" s="415"/>
      <c r="AM56" s="313"/>
    </row>
    <row r="57" spans="1:39" ht="28.5" hidden="1" customHeight="1" outlineLevel="1">
      <c r="A57" s="517">
        <v>7</v>
      </c>
      <c r="B57" s="515" t="s">
        <v>100</v>
      </c>
      <c r="C57" s="291" t="s">
        <v>25</v>
      </c>
      <c r="D57" s="295">
        <f>+'7.  Persistence Report'!AU163</f>
        <v>16475231</v>
      </c>
      <c r="E57" s="295">
        <f>+'7.  Persistence Report'!AV163</f>
        <v>16475231</v>
      </c>
      <c r="F57" s="295">
        <f>+'7.  Persistence Report'!AW163</f>
        <v>16411608</v>
      </c>
      <c r="G57" s="295">
        <f>+'7.  Persistence Report'!AX163</f>
        <v>16394148</v>
      </c>
      <c r="H57" s="295">
        <f>+'7.  Persistence Report'!AY163</f>
        <v>16394148</v>
      </c>
      <c r="I57" s="295">
        <f>+'7.  Persistence Report'!AZ163</f>
        <v>16393329</v>
      </c>
      <c r="J57" s="295">
        <f>+'7.  Persistence Report'!BA163</f>
        <v>15764945</v>
      </c>
      <c r="K57" s="295">
        <f>+'7.  Persistence Report'!BB163</f>
        <v>15764945</v>
      </c>
      <c r="L57" s="295">
        <f>+'7.  Persistence Report'!BC163</f>
        <v>15410834</v>
      </c>
      <c r="M57" s="295">
        <f>+'7.  Persistence Report'!BD163</f>
        <v>13288474</v>
      </c>
      <c r="N57" s="295">
        <v>12</v>
      </c>
      <c r="O57" s="295">
        <f>+'7.  Persistence Report'!P163</f>
        <v>2734</v>
      </c>
      <c r="P57" s="295">
        <f>+'7.  Persistence Report'!Q163</f>
        <v>2734</v>
      </c>
      <c r="Q57" s="295">
        <f>+'7.  Persistence Report'!R163</f>
        <v>2714</v>
      </c>
      <c r="R57" s="295">
        <f>+'7.  Persistence Report'!S163</f>
        <v>2709</v>
      </c>
      <c r="S57" s="295">
        <f>+'7.  Persistence Report'!T163</f>
        <v>2709</v>
      </c>
      <c r="T57" s="295">
        <f>+'7.  Persistence Report'!U163</f>
        <v>2709</v>
      </c>
      <c r="U57" s="295">
        <f>+'7.  Persistence Report'!V163</f>
        <v>2617</v>
      </c>
      <c r="V57" s="295">
        <f>+'7.  Persistence Report'!W163</f>
        <v>2617</v>
      </c>
      <c r="W57" s="295">
        <f>+'7.  Persistence Report'!X163</f>
        <v>2531</v>
      </c>
      <c r="X57" s="295">
        <f>+'7.  Persistence Report'!Y163</f>
        <v>2231</v>
      </c>
      <c r="Y57" s="528"/>
      <c r="Z57" s="772">
        <v>0.12</v>
      </c>
      <c r="AA57" s="772">
        <v>0.88</v>
      </c>
      <c r="AB57" s="409"/>
      <c r="AC57" s="528"/>
      <c r="AD57" s="409"/>
      <c r="AE57" s="409"/>
      <c r="AF57" s="414"/>
      <c r="AG57" s="414"/>
      <c r="AH57" s="414"/>
      <c r="AI57" s="414"/>
      <c r="AJ57" s="414"/>
      <c r="AK57" s="414"/>
      <c r="AL57" s="414"/>
      <c r="AM57" s="296">
        <f>SUM(Y57:AL57)</f>
        <v>1</v>
      </c>
    </row>
    <row r="58" spans="1:39" hidden="1" outlineLevel="1">
      <c r="B58" s="294" t="s">
        <v>267</v>
      </c>
      <c r="C58" s="291" t="s">
        <v>163</v>
      </c>
      <c r="D58" s="295">
        <f>+'7.  Persistence Report'!AU182+'7.  Persistence Report'!AU195</f>
        <v>2378446</v>
      </c>
      <c r="E58" s="295">
        <f>+'7.  Persistence Report'!AV182+'7.  Persistence Report'!AV195</f>
        <v>2378446</v>
      </c>
      <c r="F58" s="295">
        <f>+'7.  Persistence Report'!AW182+'7.  Persistence Report'!AW195</f>
        <v>2442069</v>
      </c>
      <c r="G58" s="295">
        <f>+'7.  Persistence Report'!AX182+'7.  Persistence Report'!AX195</f>
        <v>2464786</v>
      </c>
      <c r="H58" s="295">
        <f>+'7.  Persistence Report'!AY182+'7.  Persistence Report'!AY195</f>
        <v>2464786</v>
      </c>
      <c r="I58" s="295">
        <f>+'7.  Persistence Report'!AZ182+'7.  Persistence Report'!AZ195</f>
        <v>2464786</v>
      </c>
      <c r="J58" s="295">
        <f>+'7.  Persistence Report'!BA182+'7.  Persistence Report'!BA195</f>
        <v>3093170</v>
      </c>
      <c r="K58" s="295">
        <f>+'7.  Persistence Report'!BB182+'7.  Persistence Report'!BB195</f>
        <v>3093170</v>
      </c>
      <c r="L58" s="295">
        <f>+'7.  Persistence Report'!BC182+'7.  Persistence Report'!BC195</f>
        <v>3256045</v>
      </c>
      <c r="M58" s="295">
        <f>+'7.  Persistence Report'!BD182+'7.  Persistence Report'!BD195</f>
        <v>2863095</v>
      </c>
      <c r="N58" s="295">
        <f>N57</f>
        <v>12</v>
      </c>
      <c r="O58" s="295">
        <f>+'7.  Persistence Report'!P182+'7.  Persistence Report'!P195</f>
        <v>459</v>
      </c>
      <c r="P58" s="295">
        <f>+'7.  Persistence Report'!Q182+'7.  Persistence Report'!Q195</f>
        <v>459</v>
      </c>
      <c r="Q58" s="295">
        <f>+'7.  Persistence Report'!R182+'7.  Persistence Report'!R195</f>
        <v>479</v>
      </c>
      <c r="R58" s="295">
        <f>+'7.  Persistence Report'!S182+'7.  Persistence Report'!S195</f>
        <v>486</v>
      </c>
      <c r="S58" s="295">
        <f>+'7.  Persistence Report'!T182+'7.  Persistence Report'!T195</f>
        <v>486</v>
      </c>
      <c r="T58" s="295">
        <f>+'7.  Persistence Report'!U182+'7.  Persistence Report'!U195</f>
        <v>486</v>
      </c>
      <c r="U58" s="295">
        <f>+'7.  Persistence Report'!V182+'7.  Persistence Report'!V195</f>
        <v>577</v>
      </c>
      <c r="V58" s="295">
        <f>+'7.  Persistence Report'!W182+'7.  Persistence Report'!W195</f>
        <v>577</v>
      </c>
      <c r="W58" s="295">
        <f>+'7.  Persistence Report'!X182+'7.  Persistence Report'!X195</f>
        <v>604</v>
      </c>
      <c r="X58" s="295">
        <f>+'7.  Persistence Report'!Y182+'7.  Persistence Report'!Y195</f>
        <v>533</v>
      </c>
      <c r="Y58" s="410">
        <f>Y57</f>
        <v>0</v>
      </c>
      <c r="Z58" s="410">
        <f>Z57</f>
        <v>0.12</v>
      </c>
      <c r="AA58" s="410">
        <f t="shared" ref="AA58" si="66">AA57</f>
        <v>0.88</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1"/>
    </row>
    <row r="59" spans="1:39" hidden="1" outlineLevel="1">
      <c r="B59" s="314"/>
      <c r="C59" s="312"/>
      <c r="D59" s="758"/>
      <c r="E59" s="758"/>
      <c r="F59" s="758"/>
      <c r="G59" s="758"/>
      <c r="H59" s="758"/>
      <c r="I59" s="758"/>
      <c r="J59" s="758"/>
      <c r="K59" s="758"/>
      <c r="L59" s="758"/>
      <c r="M59" s="758"/>
      <c r="N59" s="758"/>
      <c r="O59" s="758"/>
      <c r="P59" s="758"/>
      <c r="Q59" s="758"/>
      <c r="R59" s="758"/>
      <c r="S59" s="758"/>
      <c r="T59" s="758"/>
      <c r="U59" s="758"/>
      <c r="V59" s="758"/>
      <c r="W59" s="758"/>
      <c r="X59" s="758"/>
      <c r="Y59" s="415"/>
      <c r="Z59" s="416"/>
      <c r="AA59" s="415"/>
      <c r="AB59" s="415"/>
      <c r="AC59" s="415"/>
      <c r="AD59" s="415"/>
      <c r="AE59" s="415"/>
      <c r="AF59" s="415"/>
      <c r="AG59" s="415"/>
      <c r="AH59" s="415"/>
      <c r="AI59" s="415"/>
      <c r="AJ59" s="415"/>
      <c r="AK59" s="415"/>
      <c r="AL59" s="415"/>
      <c r="AM59" s="313"/>
    </row>
    <row r="60" spans="1:39" ht="30" hidden="1" outlineLevel="1">
      <c r="A60" s="517">
        <v>8</v>
      </c>
      <c r="B60" s="515" t="s">
        <v>101</v>
      </c>
      <c r="C60" s="291" t="s">
        <v>25</v>
      </c>
      <c r="D60" s="295">
        <f>+'7.  Persistence Report'!AU164</f>
        <v>417284</v>
      </c>
      <c r="E60" s="295">
        <f>+'7.  Persistence Report'!AV164</f>
        <v>387869</v>
      </c>
      <c r="F60" s="295">
        <f>+'7.  Persistence Report'!AW164</f>
        <v>253424</v>
      </c>
      <c r="G60" s="295">
        <f>+'7.  Persistence Report'!AX164</f>
        <v>253424</v>
      </c>
      <c r="H60" s="295">
        <f>+'7.  Persistence Report'!AY164</f>
        <v>253424</v>
      </c>
      <c r="I60" s="295">
        <f>+'7.  Persistence Report'!AZ164</f>
        <v>253424</v>
      </c>
      <c r="J60" s="295">
        <f>+'7.  Persistence Report'!BA164</f>
        <v>253424</v>
      </c>
      <c r="K60" s="295">
        <f>+'7.  Persistence Report'!BB164</f>
        <v>253424</v>
      </c>
      <c r="L60" s="295">
        <f>+'7.  Persistence Report'!BC164</f>
        <v>253424</v>
      </c>
      <c r="M60" s="295">
        <f>+'7.  Persistence Report'!BD164</f>
        <v>253424</v>
      </c>
      <c r="N60" s="295">
        <v>12</v>
      </c>
      <c r="O60" s="295">
        <f>+'7.  Persistence Report'!P164</f>
        <v>101</v>
      </c>
      <c r="P60" s="295">
        <f>+'7.  Persistence Report'!Q164</f>
        <v>95</v>
      </c>
      <c r="Q60" s="295">
        <f>+'7.  Persistence Report'!R164</f>
        <v>59</v>
      </c>
      <c r="R60" s="295">
        <f>+'7.  Persistence Report'!S164</f>
        <v>59</v>
      </c>
      <c r="S60" s="295">
        <f>+'7.  Persistence Report'!T164</f>
        <v>59</v>
      </c>
      <c r="T60" s="295">
        <f>+'7.  Persistence Report'!U164</f>
        <v>59</v>
      </c>
      <c r="U60" s="295">
        <f>+'7.  Persistence Report'!V164</f>
        <v>59</v>
      </c>
      <c r="V60" s="295">
        <f>+'7.  Persistence Report'!W164</f>
        <v>59</v>
      </c>
      <c r="W60" s="295">
        <f>+'7.  Persistence Report'!X164</f>
        <v>59</v>
      </c>
      <c r="X60" s="295">
        <f>+'7.  Persistence Report'!Y164</f>
        <v>59</v>
      </c>
      <c r="Y60" s="414"/>
      <c r="Z60" s="772">
        <v>1</v>
      </c>
      <c r="AA60" s="772">
        <v>0</v>
      </c>
      <c r="AB60" s="409"/>
      <c r="AC60" s="409"/>
      <c r="AD60" s="409"/>
      <c r="AE60" s="409"/>
      <c r="AF60" s="414"/>
      <c r="AG60" s="414"/>
      <c r="AH60" s="414"/>
      <c r="AI60" s="414"/>
      <c r="AJ60" s="414"/>
      <c r="AK60" s="414"/>
      <c r="AL60" s="414"/>
      <c r="AM60" s="296">
        <f>SUM(Y60:AL60)</f>
        <v>1</v>
      </c>
    </row>
    <row r="61" spans="1:39" hidden="1" outlineLevel="1">
      <c r="B61" s="294" t="s">
        <v>267</v>
      </c>
      <c r="C61" s="291" t="s">
        <v>163</v>
      </c>
      <c r="D61" s="295">
        <f>+'7.  Persistence Report'!AU196</f>
        <v>-148302</v>
      </c>
      <c r="E61" s="295">
        <f>+'7.  Persistence Report'!AV196</f>
        <v>-118886</v>
      </c>
      <c r="F61" s="295">
        <f>+'7.  Persistence Report'!AW196</f>
        <v>15558</v>
      </c>
      <c r="G61" s="295">
        <f>+'7.  Persistence Report'!AX196</f>
        <v>27371</v>
      </c>
      <c r="H61" s="295">
        <f>+'7.  Persistence Report'!AY196</f>
        <v>27371</v>
      </c>
      <c r="I61" s="295">
        <f>+'7.  Persistence Report'!AZ196</f>
        <v>27371</v>
      </c>
      <c r="J61" s="295">
        <f>+'7.  Persistence Report'!BA196</f>
        <v>27371</v>
      </c>
      <c r="K61" s="295">
        <f>+'7.  Persistence Report'!BB196</f>
        <v>27371</v>
      </c>
      <c r="L61" s="295">
        <f>+'7.  Persistence Report'!BC196</f>
        <v>27371</v>
      </c>
      <c r="M61" s="295">
        <f>+'7.  Persistence Report'!BD196</f>
        <v>27371</v>
      </c>
      <c r="N61" s="295">
        <f>N60</f>
        <v>12</v>
      </c>
      <c r="O61" s="295">
        <f>+'7.  Persistence Report'!P196</f>
        <v>-38</v>
      </c>
      <c r="P61" s="295">
        <f>+'7.  Persistence Report'!Q196</f>
        <v>-31</v>
      </c>
      <c r="Q61" s="295">
        <f>+'7.  Persistence Report'!R196</f>
        <v>5</v>
      </c>
      <c r="R61" s="295">
        <f>+'7.  Persistence Report'!S196</f>
        <v>7</v>
      </c>
      <c r="S61" s="295">
        <f>+'7.  Persistence Report'!T196</f>
        <v>7</v>
      </c>
      <c r="T61" s="295">
        <f>+'7.  Persistence Report'!U196</f>
        <v>7</v>
      </c>
      <c r="U61" s="295">
        <f>+'7.  Persistence Report'!V196</f>
        <v>7</v>
      </c>
      <c r="V61" s="295">
        <f>+'7.  Persistence Report'!W196</f>
        <v>7</v>
      </c>
      <c r="W61" s="295">
        <f>+'7.  Persistence Report'!X196</f>
        <v>7</v>
      </c>
      <c r="X61" s="295">
        <f>+'7.  Persistence Report'!Y196</f>
        <v>7</v>
      </c>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1"/>
    </row>
    <row r="62" spans="1:39" hidden="1" outlineLevel="1">
      <c r="B62" s="314"/>
      <c r="C62" s="312"/>
      <c r="D62" s="764"/>
      <c r="E62" s="764"/>
      <c r="F62" s="764"/>
      <c r="G62" s="764"/>
      <c r="H62" s="764"/>
      <c r="I62" s="764"/>
      <c r="J62" s="764"/>
      <c r="K62" s="764"/>
      <c r="L62" s="764"/>
      <c r="M62" s="764"/>
      <c r="N62" s="758"/>
      <c r="O62" s="764"/>
      <c r="P62" s="764"/>
      <c r="Q62" s="764"/>
      <c r="R62" s="764"/>
      <c r="S62" s="764"/>
      <c r="T62" s="764"/>
      <c r="U62" s="764"/>
      <c r="V62" s="764"/>
      <c r="W62" s="764"/>
      <c r="X62" s="764"/>
      <c r="Y62" s="415"/>
      <c r="Z62" s="416"/>
      <c r="AA62" s="415"/>
      <c r="AB62" s="415"/>
      <c r="AC62" s="415"/>
      <c r="AD62" s="415"/>
      <c r="AE62" s="415"/>
      <c r="AF62" s="415"/>
      <c r="AG62" s="415"/>
      <c r="AH62" s="415"/>
      <c r="AI62" s="415"/>
      <c r="AJ62" s="415"/>
      <c r="AK62" s="415"/>
      <c r="AL62" s="415"/>
      <c r="AM62" s="313"/>
    </row>
    <row r="63" spans="1:39" ht="30" hidden="1" outlineLevel="1">
      <c r="A63" s="517">
        <v>9</v>
      </c>
      <c r="B63" s="515" t="s">
        <v>102</v>
      </c>
      <c r="C63" s="291" t="s">
        <v>25</v>
      </c>
      <c r="D63" s="295">
        <f>+'7.  Persistence Report'!AU165</f>
        <v>74739</v>
      </c>
      <c r="E63" s="295">
        <f>+'7.  Persistence Report'!AV165</f>
        <v>74739</v>
      </c>
      <c r="F63" s="295">
        <f>+'7.  Persistence Report'!AW165</f>
        <v>74739</v>
      </c>
      <c r="G63" s="295">
        <f>+'7.  Persistence Report'!AX165</f>
        <v>74739</v>
      </c>
      <c r="H63" s="295">
        <f>+'7.  Persistence Report'!AY165</f>
        <v>74739</v>
      </c>
      <c r="I63" s="295">
        <f>+'7.  Persistence Report'!AZ165</f>
        <v>74739</v>
      </c>
      <c r="J63" s="295">
        <f>+'7.  Persistence Report'!BA165</f>
        <v>74739</v>
      </c>
      <c r="K63" s="295">
        <f>+'7.  Persistence Report'!BB165</f>
        <v>74739</v>
      </c>
      <c r="L63" s="295">
        <f>+'7.  Persistence Report'!BC165</f>
        <v>74739</v>
      </c>
      <c r="M63" s="295">
        <f>+'7.  Persistence Report'!BD165</f>
        <v>74739</v>
      </c>
      <c r="N63" s="295">
        <v>12</v>
      </c>
      <c r="O63" s="295">
        <f>+'7.  Persistence Report'!P165</f>
        <v>70</v>
      </c>
      <c r="P63" s="295">
        <f>+'7.  Persistence Report'!Q165</f>
        <v>70</v>
      </c>
      <c r="Q63" s="295">
        <f>+'7.  Persistence Report'!R165</f>
        <v>70</v>
      </c>
      <c r="R63" s="295">
        <f>+'7.  Persistence Report'!S165</f>
        <v>70</v>
      </c>
      <c r="S63" s="295">
        <f>+'7.  Persistence Report'!T165</f>
        <v>70</v>
      </c>
      <c r="T63" s="295">
        <f>+'7.  Persistence Report'!U165</f>
        <v>70</v>
      </c>
      <c r="U63" s="295">
        <f>+'7.  Persistence Report'!V165</f>
        <v>70</v>
      </c>
      <c r="V63" s="295">
        <f>+'7.  Persistence Report'!W165</f>
        <v>70</v>
      </c>
      <c r="W63" s="295">
        <f>+'7.  Persistence Report'!X165</f>
        <v>70</v>
      </c>
      <c r="X63" s="295">
        <f>+'7.  Persistence Report'!Y165</f>
        <v>70</v>
      </c>
      <c r="Y63" s="414"/>
      <c r="Z63" s="772">
        <v>0</v>
      </c>
      <c r="AA63" s="772">
        <v>1</v>
      </c>
      <c r="AB63" s="409"/>
      <c r="AC63" s="409"/>
      <c r="AD63" s="409"/>
      <c r="AE63" s="409"/>
      <c r="AF63" s="414"/>
      <c r="AG63" s="414"/>
      <c r="AH63" s="414"/>
      <c r="AI63" s="414"/>
      <c r="AJ63" s="414"/>
      <c r="AK63" s="414"/>
      <c r="AL63" s="414"/>
      <c r="AM63" s="296">
        <f>SUM(Y63:AL63)</f>
        <v>1</v>
      </c>
    </row>
    <row r="64" spans="1:39" hidden="1"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0">
        <f>Y63</f>
        <v>0</v>
      </c>
      <c r="Z64" s="410">
        <f t="shared" ref="Z64" si="91">Z63</f>
        <v>0</v>
      </c>
      <c r="AA64" s="410">
        <f t="shared" ref="AA64" si="92">AA63</f>
        <v>1</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1"/>
    </row>
    <row r="65" spans="1:39" hidden="1" outlineLevel="1">
      <c r="B65" s="314"/>
      <c r="C65" s="312"/>
      <c r="D65" s="764"/>
      <c r="E65" s="764"/>
      <c r="F65" s="764"/>
      <c r="G65" s="764"/>
      <c r="H65" s="764"/>
      <c r="I65" s="764"/>
      <c r="J65" s="764"/>
      <c r="K65" s="764"/>
      <c r="L65" s="764"/>
      <c r="M65" s="764"/>
      <c r="N65" s="758"/>
      <c r="O65" s="764"/>
      <c r="P65" s="764"/>
      <c r="Q65" s="764"/>
      <c r="R65" s="764"/>
      <c r="S65" s="764"/>
      <c r="T65" s="764"/>
      <c r="U65" s="764"/>
      <c r="V65" s="764"/>
      <c r="W65" s="764"/>
      <c r="X65" s="764"/>
      <c r="Y65" s="415"/>
      <c r="Z65" s="415"/>
      <c r="AA65" s="415"/>
      <c r="AB65" s="415"/>
      <c r="AC65" s="415"/>
      <c r="AD65" s="415"/>
      <c r="AE65" s="415"/>
      <c r="AF65" s="415"/>
      <c r="AG65" s="415"/>
      <c r="AH65" s="415"/>
      <c r="AI65" s="415"/>
      <c r="AJ65" s="415"/>
      <c r="AK65" s="415"/>
      <c r="AL65" s="415"/>
      <c r="AM65" s="313"/>
    </row>
    <row r="66" spans="1:39" ht="45" hidden="1" outlineLevel="1">
      <c r="A66" s="517">
        <v>10</v>
      </c>
      <c r="B66" s="515" t="s">
        <v>103</v>
      </c>
      <c r="C66" s="291" t="s">
        <v>25</v>
      </c>
      <c r="D66" s="295">
        <f>+'7.  Persistence Report'!P166</f>
        <v>0</v>
      </c>
      <c r="E66" s="295">
        <f>+'7.  Persistence Report'!Q166</f>
        <v>0</v>
      </c>
      <c r="F66" s="295">
        <f>+'7.  Persistence Report'!R166</f>
        <v>0</v>
      </c>
      <c r="G66" s="295">
        <f>+'7.  Persistence Report'!S166</f>
        <v>0</v>
      </c>
      <c r="H66" s="295">
        <f>+'7.  Persistence Report'!T166</f>
        <v>0</v>
      </c>
      <c r="I66" s="295">
        <f>+'7.  Persistence Report'!U166</f>
        <v>0</v>
      </c>
      <c r="J66" s="295">
        <f>+'7.  Persistence Report'!V166</f>
        <v>0</v>
      </c>
      <c r="K66" s="295">
        <f>+'7.  Persistence Report'!W166</f>
        <v>0</v>
      </c>
      <c r="L66" s="295">
        <f>+'7.  Persistence Report'!X166</f>
        <v>0</v>
      </c>
      <c r="M66" s="295">
        <f>+'7.  Persistence Report'!Y166</f>
        <v>0</v>
      </c>
      <c r="N66" s="295">
        <v>3</v>
      </c>
      <c r="O66" s="295">
        <f>+'7.  Persistence Report'!AU166</f>
        <v>0</v>
      </c>
      <c r="P66" s="295">
        <f>+'7.  Persistence Report'!AV166</f>
        <v>0</v>
      </c>
      <c r="Q66" s="295">
        <f>+'7.  Persistence Report'!AW166</f>
        <v>0</v>
      </c>
      <c r="R66" s="295">
        <f>+'7.  Persistence Report'!AX166</f>
        <v>0</v>
      </c>
      <c r="S66" s="295">
        <f>+'7.  Persistence Report'!AY166</f>
        <v>0</v>
      </c>
      <c r="T66" s="295">
        <f>+'7.  Persistence Report'!AZ166</f>
        <v>0</v>
      </c>
      <c r="U66" s="295">
        <f>+'7.  Persistence Report'!BA166</f>
        <v>0</v>
      </c>
      <c r="V66" s="295">
        <f>+'7.  Persistence Report'!BB166</f>
        <v>0</v>
      </c>
      <c r="W66" s="295">
        <f>+'7.  Persistence Report'!BC166</f>
        <v>0</v>
      </c>
      <c r="X66" s="295">
        <f>+'7.  Persistence Report'!BD166</f>
        <v>0</v>
      </c>
      <c r="Y66" s="414"/>
      <c r="Z66" s="409"/>
      <c r="AA66" s="409"/>
      <c r="AB66" s="409"/>
      <c r="AC66" s="409"/>
      <c r="AD66" s="409"/>
      <c r="AE66" s="409"/>
      <c r="AF66" s="414"/>
      <c r="AG66" s="414"/>
      <c r="AH66" s="414"/>
      <c r="AI66" s="414"/>
      <c r="AJ66" s="414"/>
      <c r="AK66" s="414"/>
      <c r="AL66" s="414"/>
      <c r="AM66" s="296">
        <f>SUM(Y66:AL66)</f>
        <v>0</v>
      </c>
    </row>
    <row r="67" spans="1:39"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1"/>
    </row>
    <row r="68" spans="1:39" hidden="1" outlineLevel="1">
      <c r="B68" s="314"/>
      <c r="C68" s="312"/>
      <c r="D68" s="764"/>
      <c r="E68" s="764"/>
      <c r="F68" s="764"/>
      <c r="G68" s="764"/>
      <c r="H68" s="764"/>
      <c r="I68" s="764"/>
      <c r="J68" s="764"/>
      <c r="K68" s="764"/>
      <c r="L68" s="764"/>
      <c r="M68" s="764"/>
      <c r="N68" s="758"/>
      <c r="O68" s="764"/>
      <c r="P68" s="764"/>
      <c r="Q68" s="764"/>
      <c r="R68" s="764"/>
      <c r="S68" s="764"/>
      <c r="T68" s="764"/>
      <c r="U68" s="764"/>
      <c r="V68" s="764"/>
      <c r="W68" s="764"/>
      <c r="X68" s="764"/>
      <c r="Y68" s="415"/>
      <c r="Z68" s="416"/>
      <c r="AA68" s="415"/>
      <c r="AB68" s="415"/>
      <c r="AC68" s="415"/>
      <c r="AD68" s="415"/>
      <c r="AE68" s="415"/>
      <c r="AF68" s="415"/>
      <c r="AG68" s="415"/>
      <c r="AH68" s="415"/>
      <c r="AI68" s="415"/>
      <c r="AJ68" s="415"/>
      <c r="AK68" s="415"/>
      <c r="AL68" s="415"/>
      <c r="AM68" s="313"/>
    </row>
    <row r="69" spans="1:39" ht="15.75" hidden="1" outlineLevel="1">
      <c r="B69" s="288" t="s">
        <v>10</v>
      </c>
      <c r="C69" s="289"/>
      <c r="D69" s="762"/>
      <c r="E69" s="762"/>
      <c r="F69" s="762"/>
      <c r="G69" s="762"/>
      <c r="H69" s="762"/>
      <c r="I69" s="762"/>
      <c r="J69" s="762"/>
      <c r="K69" s="762"/>
      <c r="L69" s="762"/>
      <c r="M69" s="762"/>
      <c r="N69" s="763"/>
      <c r="O69" s="762"/>
      <c r="P69" s="762"/>
      <c r="Q69" s="762"/>
      <c r="R69" s="762"/>
      <c r="S69" s="762"/>
      <c r="T69" s="762"/>
      <c r="U69" s="762"/>
      <c r="V69" s="762"/>
      <c r="W69" s="762"/>
      <c r="X69" s="762"/>
      <c r="Y69" s="413"/>
      <c r="Z69" s="413"/>
      <c r="AA69" s="413"/>
      <c r="AB69" s="413"/>
      <c r="AC69" s="413"/>
      <c r="AD69" s="413"/>
      <c r="AE69" s="413"/>
      <c r="AF69" s="413"/>
      <c r="AG69" s="413"/>
      <c r="AH69" s="413"/>
      <c r="AI69" s="413"/>
      <c r="AJ69" s="413"/>
      <c r="AK69" s="413"/>
      <c r="AL69" s="413"/>
      <c r="AM69" s="292"/>
    </row>
    <row r="70" spans="1:39" ht="45" hidden="1" outlineLevel="1">
      <c r="A70" s="517">
        <v>11</v>
      </c>
      <c r="B70" s="515" t="s">
        <v>104</v>
      </c>
      <c r="C70" s="291" t="s">
        <v>25</v>
      </c>
      <c r="D70" s="295">
        <f>+'7.  Persistence Report'!AU167</f>
        <v>0</v>
      </c>
      <c r="E70" s="295">
        <f>+'7.  Persistence Report'!AV167</f>
        <v>0</v>
      </c>
      <c r="F70" s="295">
        <f>+'7.  Persistence Report'!AW167</f>
        <v>0</v>
      </c>
      <c r="G70" s="295">
        <f>+'7.  Persistence Report'!AX167</f>
        <v>0</v>
      </c>
      <c r="H70" s="295">
        <f>+'7.  Persistence Report'!AY167</f>
        <v>0</v>
      </c>
      <c r="I70" s="295">
        <f>+'7.  Persistence Report'!AZ167</f>
        <v>0</v>
      </c>
      <c r="J70" s="295">
        <f>+'7.  Persistence Report'!BA167</f>
        <v>0</v>
      </c>
      <c r="K70" s="295">
        <f>+'7.  Persistence Report'!BB167</f>
        <v>0</v>
      </c>
      <c r="L70" s="295">
        <f>+'7.  Persistence Report'!BC167</f>
        <v>0</v>
      </c>
      <c r="M70" s="295">
        <f>+'7.  Persistence Report'!BD167</f>
        <v>0</v>
      </c>
      <c r="N70" s="295">
        <v>12</v>
      </c>
      <c r="O70" s="295">
        <f>+'7.  Persistence Report'!P167</f>
        <v>0</v>
      </c>
      <c r="P70" s="295">
        <f>+'7.  Persistence Report'!Q167</f>
        <v>0</v>
      </c>
      <c r="Q70" s="295">
        <f>+'7.  Persistence Report'!R167</f>
        <v>0</v>
      </c>
      <c r="R70" s="295">
        <f>+'7.  Persistence Report'!S167</f>
        <v>0</v>
      </c>
      <c r="S70" s="295">
        <f>+'7.  Persistence Report'!T167</f>
        <v>0</v>
      </c>
      <c r="T70" s="295">
        <f>+'7.  Persistence Report'!U167</f>
        <v>0</v>
      </c>
      <c r="U70" s="295">
        <f>+'7.  Persistence Report'!V167</f>
        <v>0</v>
      </c>
      <c r="V70" s="295">
        <f>+'7.  Persistence Report'!W167</f>
        <v>0</v>
      </c>
      <c r="W70" s="295">
        <f>+'7.  Persistence Report'!X167</f>
        <v>0</v>
      </c>
      <c r="X70" s="295">
        <f>+'7.  Persistence Report'!Y167</f>
        <v>0</v>
      </c>
      <c r="Y70" s="423"/>
      <c r="Z70" s="409"/>
      <c r="AA70" s="409"/>
      <c r="AB70" s="409"/>
      <c r="AC70" s="409"/>
      <c r="AD70" s="409"/>
      <c r="AE70" s="409"/>
      <c r="AF70" s="414"/>
      <c r="AG70" s="414"/>
      <c r="AH70" s="414"/>
      <c r="AI70" s="414"/>
      <c r="AJ70" s="414"/>
      <c r="AK70" s="414"/>
      <c r="AL70" s="414"/>
      <c r="AM70" s="296">
        <f>SUM(Y70:AL70)</f>
        <v>0</v>
      </c>
    </row>
    <row r="71" spans="1:39"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7"/>
    </row>
    <row r="72" spans="1:39" hidden="1" outlineLevel="1">
      <c r="B72" s="315"/>
      <c r="C72" s="305"/>
      <c r="D72" s="758"/>
      <c r="E72" s="758"/>
      <c r="F72" s="758"/>
      <c r="G72" s="758"/>
      <c r="H72" s="758"/>
      <c r="I72" s="758"/>
      <c r="J72" s="758"/>
      <c r="K72" s="758"/>
      <c r="L72" s="758"/>
      <c r="M72" s="758"/>
      <c r="N72" s="758"/>
      <c r="O72" s="758"/>
      <c r="P72" s="758"/>
      <c r="Q72" s="758"/>
      <c r="R72" s="758"/>
      <c r="S72" s="758"/>
      <c r="T72" s="758"/>
      <c r="U72" s="758"/>
      <c r="V72" s="758"/>
      <c r="W72" s="758"/>
      <c r="X72" s="758"/>
      <c r="Y72" s="411"/>
      <c r="Z72" s="418"/>
      <c r="AA72" s="418"/>
      <c r="AB72" s="418"/>
      <c r="AC72" s="418"/>
      <c r="AD72" s="418"/>
      <c r="AE72" s="418"/>
      <c r="AF72" s="418"/>
      <c r="AG72" s="418"/>
      <c r="AH72" s="418"/>
      <c r="AI72" s="418"/>
      <c r="AJ72" s="418"/>
      <c r="AK72" s="418"/>
      <c r="AL72" s="418"/>
      <c r="AM72" s="306"/>
    </row>
    <row r="73" spans="1:39" ht="60" hidden="1" outlineLevel="1">
      <c r="A73" s="517">
        <v>12</v>
      </c>
      <c r="B73" s="515" t="s">
        <v>105</v>
      </c>
      <c r="C73" s="291" t="s">
        <v>25</v>
      </c>
      <c r="D73" s="295">
        <f>+'7.  Persistence Report'!P169</f>
        <v>0</v>
      </c>
      <c r="E73" s="295">
        <f>+'7.  Persistence Report'!Q169</f>
        <v>0</v>
      </c>
      <c r="F73" s="295">
        <f>+'7.  Persistence Report'!R169</f>
        <v>0</v>
      </c>
      <c r="G73" s="295">
        <f>+'7.  Persistence Report'!S169</f>
        <v>0</v>
      </c>
      <c r="H73" s="295">
        <f>+'7.  Persistence Report'!T169</f>
        <v>0</v>
      </c>
      <c r="I73" s="295">
        <f>+'7.  Persistence Report'!U169</f>
        <v>0</v>
      </c>
      <c r="J73" s="295">
        <f>+'7.  Persistence Report'!V169</f>
        <v>0</v>
      </c>
      <c r="K73" s="295">
        <f>+'7.  Persistence Report'!W169</f>
        <v>0</v>
      </c>
      <c r="L73" s="295">
        <f>+'7.  Persistence Report'!X169</f>
        <v>0</v>
      </c>
      <c r="M73" s="295">
        <f>+'7.  Persistence Report'!Y169</f>
        <v>0</v>
      </c>
      <c r="N73" s="295">
        <v>12</v>
      </c>
      <c r="O73" s="295">
        <f>+'7.  Persistence Report'!AU169</f>
        <v>0</v>
      </c>
      <c r="P73" s="295">
        <f>+'7.  Persistence Report'!AV169</f>
        <v>0</v>
      </c>
      <c r="Q73" s="295">
        <f>+'7.  Persistence Report'!AW169</f>
        <v>0</v>
      </c>
      <c r="R73" s="295">
        <f>+'7.  Persistence Report'!AX169</f>
        <v>0</v>
      </c>
      <c r="S73" s="295">
        <f>+'7.  Persistence Report'!AY169</f>
        <v>0</v>
      </c>
      <c r="T73" s="295">
        <f>+'7.  Persistence Report'!AZ169</f>
        <v>0</v>
      </c>
      <c r="U73" s="295">
        <f>+'7.  Persistence Report'!BA169</f>
        <v>0</v>
      </c>
      <c r="V73" s="295">
        <f>+'7.  Persistence Report'!BB169</f>
        <v>0</v>
      </c>
      <c r="W73" s="295">
        <f>+'7.  Persistence Report'!BC169</f>
        <v>0</v>
      </c>
      <c r="X73" s="295">
        <f>+'7.  Persistence Report'!BD169</f>
        <v>0</v>
      </c>
      <c r="Y73" s="409"/>
      <c r="Z73" s="409"/>
      <c r="AA73" s="409"/>
      <c r="AB73" s="409"/>
      <c r="AC73" s="409"/>
      <c r="AD73" s="409"/>
      <c r="AE73" s="409"/>
      <c r="AF73" s="414"/>
      <c r="AG73" s="414"/>
      <c r="AH73" s="414"/>
      <c r="AI73" s="414"/>
      <c r="AJ73" s="414"/>
      <c r="AK73" s="414"/>
      <c r="AL73" s="414"/>
      <c r="AM73" s="296">
        <f>SUM(Y73:AL73)</f>
        <v>0</v>
      </c>
    </row>
    <row r="74" spans="1:39" hidden="1" outlineLevel="1">
      <c r="B74" s="515"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7"/>
    </row>
    <row r="75" spans="1:39" hidden="1" outlineLevel="1">
      <c r="B75" s="515"/>
      <c r="C75" s="305"/>
      <c r="D75" s="758"/>
      <c r="E75" s="758"/>
      <c r="F75" s="758"/>
      <c r="G75" s="758"/>
      <c r="H75" s="758"/>
      <c r="I75" s="758"/>
      <c r="J75" s="758"/>
      <c r="K75" s="758"/>
      <c r="L75" s="758"/>
      <c r="M75" s="758"/>
      <c r="N75" s="758"/>
      <c r="O75" s="758"/>
      <c r="P75" s="758"/>
      <c r="Q75" s="758"/>
      <c r="R75" s="758"/>
      <c r="S75" s="758"/>
      <c r="T75" s="758"/>
      <c r="U75" s="758"/>
      <c r="V75" s="758"/>
      <c r="W75" s="758"/>
      <c r="X75" s="758"/>
      <c r="Y75" s="419"/>
      <c r="Z75" s="419"/>
      <c r="AA75" s="411"/>
      <c r="AB75" s="411"/>
      <c r="AC75" s="411"/>
      <c r="AD75" s="411"/>
      <c r="AE75" s="411"/>
      <c r="AF75" s="411"/>
      <c r="AG75" s="411"/>
      <c r="AH75" s="411"/>
      <c r="AI75" s="411"/>
      <c r="AJ75" s="411"/>
      <c r="AK75" s="411"/>
      <c r="AL75" s="411"/>
      <c r="AM75" s="306"/>
    </row>
    <row r="76" spans="1:39" ht="45" hidden="1" outlineLevel="1">
      <c r="A76" s="517">
        <v>13</v>
      </c>
      <c r="B76" s="515" t="s">
        <v>106</v>
      </c>
      <c r="C76" s="291" t="s">
        <v>25</v>
      </c>
      <c r="D76" s="295">
        <f>+'7.  Persistence Report'!AU168</f>
        <v>835231</v>
      </c>
      <c r="E76" s="295">
        <f>+'7.  Persistence Report'!AV168</f>
        <v>835231</v>
      </c>
      <c r="F76" s="295">
        <f>+'7.  Persistence Report'!AW168</f>
        <v>768099</v>
      </c>
      <c r="G76" s="295">
        <f>+'7.  Persistence Report'!AX168</f>
        <v>768099</v>
      </c>
      <c r="H76" s="295">
        <f>+'7.  Persistence Report'!AY168</f>
        <v>768099</v>
      </c>
      <c r="I76" s="295">
        <f>+'7.  Persistence Report'!AZ168</f>
        <v>768099</v>
      </c>
      <c r="J76" s="295">
        <f>+'7.  Persistence Report'!BA168</f>
        <v>768099</v>
      </c>
      <c r="K76" s="295">
        <f>+'7.  Persistence Report'!BB168</f>
        <v>762924</v>
      </c>
      <c r="L76" s="295">
        <f>+'7.  Persistence Report'!BC168</f>
        <v>613519</v>
      </c>
      <c r="M76" s="295">
        <f>+'7.  Persistence Report'!BD168</f>
        <v>442289</v>
      </c>
      <c r="N76" s="295">
        <v>12</v>
      </c>
      <c r="O76" s="295">
        <f>+'7.  Persistence Report'!P168</f>
        <v>127</v>
      </c>
      <c r="P76" s="295">
        <f>+'7.  Persistence Report'!Q168</f>
        <v>127</v>
      </c>
      <c r="Q76" s="295">
        <f>+'7.  Persistence Report'!R168</f>
        <v>114</v>
      </c>
      <c r="R76" s="295">
        <f>+'7.  Persistence Report'!S168</f>
        <v>114</v>
      </c>
      <c r="S76" s="295">
        <f>+'7.  Persistence Report'!T168</f>
        <v>114</v>
      </c>
      <c r="T76" s="295">
        <f>+'7.  Persistence Report'!U168</f>
        <v>114</v>
      </c>
      <c r="U76" s="295">
        <f>+'7.  Persistence Report'!V168</f>
        <v>114</v>
      </c>
      <c r="V76" s="295">
        <f>+'7.  Persistence Report'!W168</f>
        <v>113</v>
      </c>
      <c r="W76" s="295">
        <f>+'7.  Persistence Report'!X168</f>
        <v>98</v>
      </c>
      <c r="X76" s="295">
        <f>+'7.  Persistence Report'!Y168</f>
        <v>76</v>
      </c>
      <c r="Y76" s="409"/>
      <c r="Z76" s="772">
        <v>0</v>
      </c>
      <c r="AA76" s="772">
        <v>1</v>
      </c>
      <c r="AB76" s="409"/>
      <c r="AC76" s="409"/>
      <c r="AD76" s="409"/>
      <c r="AE76" s="409"/>
      <c r="AF76" s="414"/>
      <c r="AG76" s="414"/>
      <c r="AH76" s="414"/>
      <c r="AI76" s="414"/>
      <c r="AJ76" s="414"/>
      <c r="AK76" s="414"/>
      <c r="AL76" s="414"/>
      <c r="AM76" s="296">
        <f>SUM(Y76:AL76)</f>
        <v>1</v>
      </c>
    </row>
    <row r="77" spans="1:39" hidden="1" outlineLevel="1">
      <c r="B77" s="515"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0">
        <f>Y76</f>
        <v>0</v>
      </c>
      <c r="Z77" s="410">
        <f t="shared" ref="Z77:AL77" si="143">Z76</f>
        <v>0</v>
      </c>
      <c r="AA77" s="410">
        <f t="shared" si="143"/>
        <v>1</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6"/>
    </row>
    <row r="78" spans="1:39" hidden="1" outlineLevel="1">
      <c r="B78" s="515"/>
      <c r="C78" s="305"/>
      <c r="D78" s="758"/>
      <c r="E78" s="758"/>
      <c r="F78" s="758"/>
      <c r="G78" s="758"/>
      <c r="H78" s="758"/>
      <c r="I78" s="758"/>
      <c r="J78" s="758"/>
      <c r="K78" s="758"/>
      <c r="L78" s="758"/>
      <c r="M78" s="758"/>
      <c r="N78" s="758"/>
      <c r="O78" s="758"/>
      <c r="P78" s="758"/>
      <c r="Q78" s="758"/>
      <c r="R78" s="758"/>
      <c r="S78" s="758"/>
      <c r="T78" s="758"/>
      <c r="U78" s="758"/>
      <c r="V78" s="758"/>
      <c r="W78" s="758"/>
      <c r="X78" s="758"/>
      <c r="Y78" s="411"/>
      <c r="Z78" s="411"/>
      <c r="AA78" s="411"/>
      <c r="AB78" s="411"/>
      <c r="AC78" s="411"/>
      <c r="AD78" s="411"/>
      <c r="AE78" s="411"/>
      <c r="AF78" s="411"/>
      <c r="AG78" s="411"/>
      <c r="AH78" s="411"/>
      <c r="AI78" s="411"/>
      <c r="AJ78" s="411"/>
      <c r="AK78" s="411"/>
      <c r="AL78" s="411"/>
      <c r="AM78" s="306"/>
    </row>
    <row r="79" spans="1:39" ht="15.75" hidden="1" outlineLevel="1">
      <c r="B79" s="288" t="s">
        <v>107</v>
      </c>
      <c r="C79" s="289"/>
      <c r="D79" s="763"/>
      <c r="E79" s="763"/>
      <c r="F79" s="763"/>
      <c r="G79" s="763"/>
      <c r="H79" s="763"/>
      <c r="I79" s="763"/>
      <c r="J79" s="763"/>
      <c r="K79" s="763"/>
      <c r="L79" s="763"/>
      <c r="M79" s="763"/>
      <c r="N79" s="763"/>
      <c r="O79" s="763"/>
      <c r="P79" s="762"/>
      <c r="Q79" s="762"/>
      <c r="R79" s="762"/>
      <c r="S79" s="762"/>
      <c r="T79" s="762"/>
      <c r="U79" s="762"/>
      <c r="V79" s="762"/>
      <c r="W79" s="762"/>
      <c r="X79" s="762"/>
      <c r="Y79" s="413"/>
      <c r="Z79" s="413"/>
      <c r="AA79" s="413"/>
      <c r="AB79" s="413"/>
      <c r="AC79" s="413"/>
      <c r="AD79" s="413"/>
      <c r="AE79" s="413"/>
      <c r="AF79" s="413"/>
      <c r="AG79" s="413"/>
      <c r="AH79" s="413"/>
      <c r="AI79" s="413"/>
      <c r="AJ79" s="413"/>
      <c r="AK79" s="413"/>
      <c r="AL79" s="413"/>
      <c r="AM79" s="292"/>
    </row>
    <row r="80" spans="1:39" hidden="1" outlineLevel="1">
      <c r="A80" s="517">
        <v>14</v>
      </c>
      <c r="B80" s="315" t="s">
        <v>108</v>
      </c>
      <c r="C80" s="291" t="s">
        <v>25</v>
      </c>
      <c r="D80" s="295">
        <f>+'7.  Persistence Report'!AU170</f>
        <v>109589</v>
      </c>
      <c r="E80" s="295">
        <f>+'7.  Persistence Report'!AV170</f>
        <v>95070</v>
      </c>
      <c r="F80" s="295">
        <f>+'7.  Persistence Report'!AW170</f>
        <v>92168</v>
      </c>
      <c r="G80" s="295">
        <f>+'7.  Persistence Report'!AX170</f>
        <v>89267</v>
      </c>
      <c r="H80" s="295">
        <f>+'7.  Persistence Report'!AY170</f>
        <v>89267</v>
      </c>
      <c r="I80" s="295">
        <f>+'7.  Persistence Report'!AZ170</f>
        <v>89267</v>
      </c>
      <c r="J80" s="295">
        <f>+'7.  Persistence Report'!BA170</f>
        <v>87648</v>
      </c>
      <c r="K80" s="295">
        <f>+'7.  Persistence Report'!BB170</f>
        <v>87598</v>
      </c>
      <c r="L80" s="295">
        <f>+'7.  Persistence Report'!BC170</f>
        <v>66818</v>
      </c>
      <c r="M80" s="295">
        <f>+'7.  Persistence Report'!BD170</f>
        <v>66818</v>
      </c>
      <c r="N80" s="295">
        <v>12</v>
      </c>
      <c r="O80" s="295">
        <f>+'7.  Persistence Report'!P170</f>
        <v>23</v>
      </c>
      <c r="P80" s="295">
        <f>+'7.  Persistence Report'!Q170</f>
        <v>22</v>
      </c>
      <c r="Q80" s="295">
        <f>+'7.  Persistence Report'!R170</f>
        <v>22</v>
      </c>
      <c r="R80" s="295">
        <f>+'7.  Persistence Report'!S170</f>
        <v>22</v>
      </c>
      <c r="S80" s="295">
        <f>+'7.  Persistence Report'!T170</f>
        <v>22</v>
      </c>
      <c r="T80" s="295">
        <f>+'7.  Persistence Report'!U170</f>
        <v>22</v>
      </c>
      <c r="U80" s="295">
        <f>+'7.  Persistence Report'!V170</f>
        <v>22</v>
      </c>
      <c r="V80" s="295">
        <f>+'7.  Persistence Report'!W170</f>
        <v>22</v>
      </c>
      <c r="W80" s="295">
        <f>+'7.  Persistence Report'!X170</f>
        <v>21</v>
      </c>
      <c r="X80" s="295">
        <f>+'7.  Persistence Report'!Y170</f>
        <v>21</v>
      </c>
      <c r="Y80" s="528">
        <v>1</v>
      </c>
      <c r="Z80" s="409"/>
      <c r="AA80" s="409"/>
      <c r="AB80" s="409"/>
      <c r="AC80" s="409"/>
      <c r="AD80" s="409"/>
      <c r="AE80" s="409"/>
      <c r="AF80" s="409"/>
      <c r="AG80" s="409"/>
      <c r="AH80" s="409"/>
      <c r="AI80" s="409"/>
      <c r="AJ80" s="409"/>
      <c r="AK80" s="409"/>
      <c r="AL80" s="409"/>
      <c r="AM80" s="296">
        <f>SUM(Y80:AL80)</f>
        <v>1</v>
      </c>
    </row>
    <row r="81" spans="1:40"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7"/>
    </row>
    <row r="82" spans="1:40" s="510" customFormat="1" hidden="1" outlineLevel="1">
      <c r="A82" s="518"/>
      <c r="B82" s="294"/>
      <c r="C82" s="291"/>
      <c r="D82" s="758"/>
      <c r="E82" s="758"/>
      <c r="F82" s="758"/>
      <c r="G82" s="758"/>
      <c r="H82" s="758"/>
      <c r="I82" s="758"/>
      <c r="J82" s="758"/>
      <c r="K82" s="758"/>
      <c r="L82" s="758"/>
      <c r="M82" s="758"/>
      <c r="N82" s="759"/>
      <c r="O82" s="758"/>
      <c r="P82" s="758"/>
      <c r="Q82" s="758"/>
      <c r="R82" s="758"/>
      <c r="S82" s="758"/>
      <c r="T82" s="758"/>
      <c r="U82" s="758"/>
      <c r="V82" s="758"/>
      <c r="W82" s="758"/>
      <c r="X82" s="758"/>
      <c r="Y82" s="410"/>
      <c r="Z82" s="410"/>
      <c r="AA82" s="410"/>
      <c r="AB82" s="410"/>
      <c r="AC82" s="410"/>
      <c r="AD82" s="410"/>
      <c r="AE82" s="410"/>
      <c r="AF82" s="410"/>
      <c r="AG82" s="410"/>
      <c r="AH82" s="410"/>
      <c r="AI82" s="410"/>
      <c r="AJ82" s="410"/>
      <c r="AK82" s="410"/>
      <c r="AL82" s="410"/>
      <c r="AM82" s="511"/>
      <c r="AN82" s="625"/>
    </row>
    <row r="83" spans="1:40" s="309" customFormat="1" ht="15.75" hidden="1" outlineLevel="1">
      <c r="A83" s="518"/>
      <c r="B83" s="288" t="s">
        <v>490</v>
      </c>
      <c r="C83" s="291"/>
      <c r="D83" s="758"/>
      <c r="E83" s="758"/>
      <c r="F83" s="758"/>
      <c r="G83" s="758"/>
      <c r="H83" s="758"/>
      <c r="I83" s="758"/>
      <c r="J83" s="758"/>
      <c r="K83" s="758"/>
      <c r="L83" s="758"/>
      <c r="M83" s="758"/>
      <c r="N83" s="758"/>
      <c r="O83" s="758"/>
      <c r="P83" s="758"/>
      <c r="Q83" s="758"/>
      <c r="R83" s="758"/>
      <c r="S83" s="758"/>
      <c r="T83" s="758"/>
      <c r="U83" s="758"/>
      <c r="V83" s="758"/>
      <c r="W83" s="758"/>
      <c r="X83" s="758"/>
      <c r="Y83" s="411"/>
      <c r="Z83" s="411"/>
      <c r="AA83" s="411"/>
      <c r="AB83" s="411"/>
      <c r="AC83" s="411"/>
      <c r="AD83" s="411"/>
      <c r="AE83" s="415"/>
      <c r="AF83" s="415"/>
      <c r="AG83" s="415"/>
      <c r="AH83" s="415"/>
      <c r="AI83" s="415"/>
      <c r="AJ83" s="415"/>
      <c r="AK83" s="415"/>
      <c r="AL83" s="415"/>
      <c r="AM83" s="512"/>
      <c r="AN83" s="626"/>
    </row>
    <row r="84" spans="1:40" hidden="1" outlineLevel="1">
      <c r="A84" s="517">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09"/>
      <c r="Z84" s="409"/>
      <c r="AA84" s="409"/>
      <c r="AB84" s="409"/>
      <c r="AC84" s="409"/>
      <c r="AD84" s="409"/>
      <c r="AE84" s="409"/>
      <c r="AF84" s="409"/>
      <c r="AG84" s="409"/>
      <c r="AH84" s="409"/>
      <c r="AI84" s="409"/>
      <c r="AJ84" s="409"/>
      <c r="AK84" s="409"/>
      <c r="AL84" s="409"/>
      <c r="AM84" s="296">
        <f>SUM(Y84:AL84)</f>
        <v>0</v>
      </c>
    </row>
    <row r="85" spans="1:40"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7"/>
    </row>
    <row r="86" spans="1:40" hidden="1" outlineLevel="1">
      <c r="B86" s="315"/>
      <c r="C86" s="305"/>
      <c r="D86" s="758"/>
      <c r="E86" s="758"/>
      <c r="F86" s="758"/>
      <c r="G86" s="758"/>
      <c r="H86" s="758"/>
      <c r="I86" s="758"/>
      <c r="J86" s="758"/>
      <c r="K86" s="758"/>
      <c r="L86" s="758"/>
      <c r="M86" s="758"/>
      <c r="N86" s="758"/>
      <c r="O86" s="758"/>
      <c r="P86" s="758"/>
      <c r="Q86" s="758"/>
      <c r="R86" s="758"/>
      <c r="S86" s="758"/>
      <c r="T86" s="758"/>
      <c r="U86" s="758"/>
      <c r="V86" s="758"/>
      <c r="W86" s="758"/>
      <c r="X86" s="758"/>
      <c r="Y86" s="411"/>
      <c r="Z86" s="411"/>
      <c r="AA86" s="411"/>
      <c r="AB86" s="411"/>
      <c r="AC86" s="411"/>
      <c r="AD86" s="411"/>
      <c r="AE86" s="411"/>
      <c r="AF86" s="411"/>
      <c r="AG86" s="411"/>
      <c r="AH86" s="411"/>
      <c r="AI86" s="411"/>
      <c r="AJ86" s="411"/>
      <c r="AK86" s="411"/>
      <c r="AL86" s="411"/>
      <c r="AM86" s="306"/>
    </row>
    <row r="87" spans="1:40" s="283" customFormat="1" hidden="1" outlineLevel="1">
      <c r="A87" s="517">
        <v>16</v>
      </c>
      <c r="B87" s="323"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09"/>
      <c r="Z87" s="409"/>
      <c r="AA87" s="409"/>
      <c r="AB87" s="409"/>
      <c r="AC87" s="409"/>
      <c r="AD87" s="409"/>
      <c r="AE87" s="409"/>
      <c r="AF87" s="409"/>
      <c r="AG87" s="409"/>
      <c r="AH87" s="409"/>
      <c r="AI87" s="409"/>
      <c r="AJ87" s="409"/>
      <c r="AK87" s="409"/>
      <c r="AL87" s="409"/>
      <c r="AM87" s="296">
        <f>SUM(Y87:AL87)</f>
        <v>0</v>
      </c>
    </row>
    <row r="88" spans="1:40" s="283" customFormat="1" hidden="1" outlineLevel="1">
      <c r="A88" s="517"/>
      <c r="B88" s="323"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7"/>
    </row>
    <row r="89" spans="1:40" s="283" customFormat="1" hidden="1" outlineLevel="1">
      <c r="A89" s="517"/>
      <c r="B89" s="323"/>
      <c r="C89" s="291"/>
      <c r="D89" s="758"/>
      <c r="E89" s="758"/>
      <c r="F89" s="758"/>
      <c r="G89" s="758"/>
      <c r="H89" s="758"/>
      <c r="I89" s="758"/>
      <c r="J89" s="758"/>
      <c r="K89" s="758"/>
      <c r="L89" s="758"/>
      <c r="M89" s="758"/>
      <c r="N89" s="758"/>
      <c r="O89" s="758"/>
      <c r="P89" s="758"/>
      <c r="Q89" s="758"/>
      <c r="R89" s="758"/>
      <c r="S89" s="758"/>
      <c r="T89" s="758"/>
      <c r="U89" s="758"/>
      <c r="V89" s="758"/>
      <c r="W89" s="758"/>
      <c r="X89" s="758"/>
      <c r="Y89" s="411"/>
      <c r="Z89" s="411"/>
      <c r="AA89" s="411"/>
      <c r="AB89" s="411"/>
      <c r="AC89" s="411"/>
      <c r="AD89" s="411"/>
      <c r="AE89" s="415"/>
      <c r="AF89" s="415"/>
      <c r="AG89" s="415"/>
      <c r="AH89" s="415"/>
      <c r="AI89" s="415"/>
      <c r="AJ89" s="415"/>
      <c r="AK89" s="415"/>
      <c r="AL89" s="415"/>
      <c r="AM89" s="313"/>
    </row>
    <row r="90" spans="1:40" ht="15.75" hidden="1" outlineLevel="1">
      <c r="B90" s="514" t="s">
        <v>496</v>
      </c>
      <c r="C90" s="319"/>
      <c r="D90" s="763"/>
      <c r="E90" s="762"/>
      <c r="F90" s="762"/>
      <c r="G90" s="762"/>
      <c r="H90" s="762"/>
      <c r="I90" s="762"/>
      <c r="J90" s="762"/>
      <c r="K90" s="762"/>
      <c r="L90" s="762"/>
      <c r="M90" s="762"/>
      <c r="N90" s="763"/>
      <c r="O90" s="762"/>
      <c r="P90" s="762"/>
      <c r="Q90" s="762"/>
      <c r="R90" s="762"/>
      <c r="S90" s="762"/>
      <c r="T90" s="762"/>
      <c r="U90" s="762"/>
      <c r="V90" s="762"/>
      <c r="W90" s="762"/>
      <c r="X90" s="762"/>
      <c r="Y90" s="413"/>
      <c r="Z90" s="413"/>
      <c r="AA90" s="413"/>
      <c r="AB90" s="413"/>
      <c r="AC90" s="413"/>
      <c r="AD90" s="413"/>
      <c r="AE90" s="413"/>
      <c r="AF90" s="413"/>
      <c r="AG90" s="413"/>
      <c r="AH90" s="413"/>
      <c r="AI90" s="413"/>
      <c r="AJ90" s="413"/>
      <c r="AK90" s="413"/>
      <c r="AL90" s="413"/>
      <c r="AM90" s="292"/>
    </row>
    <row r="91" spans="1:40" ht="30" hidden="1" outlineLevel="1">
      <c r="A91" s="517">
        <v>17</v>
      </c>
      <c r="B91" s="515"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3"/>
      <c r="Z91" s="409"/>
      <c r="AA91" s="409"/>
      <c r="AB91" s="409"/>
      <c r="AC91" s="409"/>
      <c r="AD91" s="409"/>
      <c r="AE91" s="409"/>
      <c r="AF91" s="414"/>
      <c r="AG91" s="414"/>
      <c r="AH91" s="414"/>
      <c r="AI91" s="414"/>
      <c r="AJ91" s="414"/>
      <c r="AK91" s="414"/>
      <c r="AL91" s="414"/>
      <c r="AM91" s="296">
        <f>SUM(Y91:AL91)</f>
        <v>0</v>
      </c>
    </row>
    <row r="92" spans="1:40"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6"/>
    </row>
    <row r="93" spans="1:40" hidden="1" outlineLevel="1">
      <c r="B93" s="294"/>
      <c r="C93" s="291"/>
      <c r="D93" s="758"/>
      <c r="E93" s="758"/>
      <c r="F93" s="758"/>
      <c r="G93" s="758"/>
      <c r="H93" s="758"/>
      <c r="I93" s="758"/>
      <c r="J93" s="758"/>
      <c r="K93" s="758"/>
      <c r="L93" s="758"/>
      <c r="M93" s="758"/>
      <c r="N93" s="758"/>
      <c r="O93" s="758"/>
      <c r="P93" s="758"/>
      <c r="Q93" s="758"/>
      <c r="R93" s="758"/>
      <c r="S93" s="758"/>
      <c r="T93" s="758"/>
      <c r="U93" s="758"/>
      <c r="V93" s="758"/>
      <c r="W93" s="758"/>
      <c r="X93" s="758"/>
      <c r="Y93" s="419"/>
      <c r="Z93" s="422"/>
      <c r="AA93" s="422"/>
      <c r="AB93" s="422"/>
      <c r="AC93" s="422"/>
      <c r="AD93" s="422"/>
      <c r="AE93" s="422"/>
      <c r="AF93" s="422"/>
      <c r="AG93" s="422"/>
      <c r="AH93" s="422"/>
      <c r="AI93" s="422"/>
      <c r="AJ93" s="422"/>
      <c r="AK93" s="422"/>
      <c r="AL93" s="422"/>
      <c r="AM93" s="306"/>
    </row>
    <row r="94" spans="1:40" hidden="1" outlineLevel="1">
      <c r="A94" s="517">
        <v>18</v>
      </c>
      <c r="B94" s="515" t="s">
        <v>109</v>
      </c>
      <c r="C94" s="291" t="s">
        <v>25</v>
      </c>
      <c r="D94" s="295">
        <f>+'7.  Persistence Report'!AU174</f>
        <v>441961</v>
      </c>
      <c r="E94" s="295">
        <f>+'7.  Persistence Report'!AV174</f>
        <v>441961</v>
      </c>
      <c r="F94" s="295">
        <f>+'7.  Persistence Report'!AW174</f>
        <v>441961</v>
      </c>
      <c r="G94" s="295">
        <f>+'7.  Persistence Report'!AX174</f>
        <v>441961</v>
      </c>
      <c r="H94" s="295">
        <f>+'7.  Persistence Report'!AY174</f>
        <v>441961</v>
      </c>
      <c r="I94" s="295">
        <f>+'7.  Persistence Report'!AZ174</f>
        <v>441961</v>
      </c>
      <c r="J94" s="295">
        <f>+'7.  Persistence Report'!BA174</f>
        <v>441961</v>
      </c>
      <c r="K94" s="295">
        <f>+'7.  Persistence Report'!BB174</f>
        <v>441961</v>
      </c>
      <c r="L94" s="295">
        <f>+'7.  Persistence Report'!BC174</f>
        <v>441961</v>
      </c>
      <c r="M94" s="295">
        <f>+'7.  Persistence Report'!BD174</f>
        <v>441961</v>
      </c>
      <c r="N94" s="295">
        <v>12</v>
      </c>
      <c r="O94" s="295">
        <f>+'7.  Persistence Report'!P174</f>
        <v>52</v>
      </c>
      <c r="P94" s="295">
        <f>+'7.  Persistence Report'!Q174</f>
        <v>52</v>
      </c>
      <c r="Q94" s="295">
        <f>+'7.  Persistence Report'!R174</f>
        <v>52</v>
      </c>
      <c r="R94" s="295">
        <f>+'7.  Persistence Report'!S174</f>
        <v>52</v>
      </c>
      <c r="S94" s="295">
        <f>+'7.  Persistence Report'!T174</f>
        <v>52</v>
      </c>
      <c r="T94" s="295">
        <f>+'7.  Persistence Report'!U174</f>
        <v>52</v>
      </c>
      <c r="U94" s="295">
        <f>+'7.  Persistence Report'!V174</f>
        <v>52</v>
      </c>
      <c r="V94" s="295">
        <f>+'7.  Persistence Report'!W174</f>
        <v>52</v>
      </c>
      <c r="W94" s="295">
        <f>+'7.  Persistence Report'!X174</f>
        <v>52</v>
      </c>
      <c r="X94" s="295">
        <f>+'7.  Persistence Report'!Y174</f>
        <v>52</v>
      </c>
      <c r="Y94" s="423"/>
      <c r="Z94" s="772">
        <v>0</v>
      </c>
      <c r="AA94" s="772">
        <v>1</v>
      </c>
      <c r="AB94" s="409"/>
      <c r="AC94" s="409"/>
      <c r="AD94" s="409"/>
      <c r="AE94" s="409"/>
      <c r="AF94" s="414"/>
      <c r="AG94" s="414"/>
      <c r="AH94" s="414"/>
      <c r="AI94" s="414"/>
      <c r="AJ94" s="414"/>
      <c r="AK94" s="414"/>
      <c r="AL94" s="414"/>
      <c r="AM94" s="296">
        <f>SUM(Y94:AL94)</f>
        <v>1</v>
      </c>
    </row>
    <row r="95" spans="1:40"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0">
        <f>Y94</f>
        <v>0</v>
      </c>
      <c r="Z95" s="410">
        <f t="shared" ref="Z95" si="161">Z94</f>
        <v>0</v>
      </c>
      <c r="AA95" s="410">
        <f t="shared" ref="AA95" si="162">AA94</f>
        <v>1</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6"/>
    </row>
    <row r="96" spans="1:40" hidden="1" outlineLevel="1">
      <c r="B96" s="321"/>
      <c r="C96" s="291"/>
      <c r="D96" s="758"/>
      <c r="E96" s="758"/>
      <c r="F96" s="758"/>
      <c r="G96" s="758"/>
      <c r="H96" s="758"/>
      <c r="I96" s="758"/>
      <c r="J96" s="758"/>
      <c r="K96" s="758"/>
      <c r="L96" s="758"/>
      <c r="M96" s="758"/>
      <c r="N96" s="758"/>
      <c r="O96" s="758"/>
      <c r="P96" s="758"/>
      <c r="Q96" s="758"/>
      <c r="R96" s="758"/>
      <c r="S96" s="758"/>
      <c r="T96" s="758"/>
      <c r="U96" s="758"/>
      <c r="V96" s="758"/>
      <c r="W96" s="758"/>
      <c r="X96" s="758"/>
      <c r="Y96" s="420"/>
      <c r="Z96" s="421"/>
      <c r="AA96" s="421"/>
      <c r="AB96" s="421"/>
      <c r="AC96" s="421"/>
      <c r="AD96" s="421"/>
      <c r="AE96" s="421"/>
      <c r="AF96" s="421"/>
      <c r="AG96" s="421"/>
      <c r="AH96" s="421"/>
      <c r="AI96" s="421"/>
      <c r="AJ96" s="421"/>
      <c r="AK96" s="421"/>
      <c r="AL96" s="421"/>
      <c r="AM96" s="297"/>
    </row>
    <row r="97" spans="1:39" ht="30" hidden="1" outlineLevel="1">
      <c r="A97" s="517">
        <v>19</v>
      </c>
      <c r="B97" s="515"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3"/>
      <c r="Z97" s="409"/>
      <c r="AA97" s="409"/>
      <c r="AB97" s="409"/>
      <c r="AC97" s="409"/>
      <c r="AD97" s="409"/>
      <c r="AE97" s="409"/>
      <c r="AF97" s="414"/>
      <c r="AG97" s="414"/>
      <c r="AH97" s="414"/>
      <c r="AI97" s="414"/>
      <c r="AJ97" s="414"/>
      <c r="AK97" s="414"/>
      <c r="AL97" s="414"/>
      <c r="AM97" s="296">
        <f>SUM(Y97:AL97)</f>
        <v>0</v>
      </c>
    </row>
    <row r="98" spans="1:39"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7"/>
    </row>
    <row r="99" spans="1:39" hidden="1" outlineLevel="1">
      <c r="B99" s="321"/>
      <c r="C99" s="291"/>
      <c r="D99" s="758"/>
      <c r="E99" s="758"/>
      <c r="F99" s="758"/>
      <c r="G99" s="758"/>
      <c r="H99" s="758"/>
      <c r="I99" s="758"/>
      <c r="J99" s="758"/>
      <c r="K99" s="758"/>
      <c r="L99" s="758"/>
      <c r="M99" s="758"/>
      <c r="N99" s="758"/>
      <c r="O99" s="758"/>
      <c r="P99" s="758"/>
      <c r="Q99" s="758"/>
      <c r="R99" s="758"/>
      <c r="S99" s="758"/>
      <c r="T99" s="758"/>
      <c r="U99" s="758"/>
      <c r="V99" s="758"/>
      <c r="W99" s="758"/>
      <c r="X99" s="758"/>
      <c r="Y99" s="411"/>
      <c r="Z99" s="411"/>
      <c r="AA99" s="411"/>
      <c r="AB99" s="411"/>
      <c r="AC99" s="411"/>
      <c r="AD99" s="411"/>
      <c r="AE99" s="411"/>
      <c r="AF99" s="411"/>
      <c r="AG99" s="411"/>
      <c r="AH99" s="411"/>
      <c r="AI99" s="411"/>
      <c r="AJ99" s="411"/>
      <c r="AK99" s="411"/>
      <c r="AL99" s="411"/>
      <c r="AM99" s="306"/>
    </row>
    <row r="100" spans="1:39" hidden="1" outlineLevel="1">
      <c r="A100" s="517">
        <v>20</v>
      </c>
      <c r="B100" s="515"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3"/>
      <c r="Z100" s="409"/>
      <c r="AA100" s="409"/>
      <c r="AB100" s="409"/>
      <c r="AC100" s="409"/>
      <c r="AD100" s="409"/>
      <c r="AE100" s="409"/>
      <c r="AF100" s="414"/>
      <c r="AG100" s="414"/>
      <c r="AH100" s="414"/>
      <c r="AI100" s="414"/>
      <c r="AJ100" s="414"/>
      <c r="AK100" s="414"/>
      <c r="AL100" s="414"/>
      <c r="AM100" s="296">
        <f>SUM(Y100:AL100)</f>
        <v>0</v>
      </c>
    </row>
    <row r="101" spans="1:39"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6"/>
    </row>
    <row r="102" spans="1:39" ht="15.75" hidden="1" outlineLevel="1">
      <c r="B102" s="322"/>
      <c r="C102" s="300"/>
      <c r="D102" s="758"/>
      <c r="E102" s="758"/>
      <c r="F102" s="758"/>
      <c r="G102" s="758"/>
      <c r="H102" s="758"/>
      <c r="I102" s="758"/>
      <c r="J102" s="758"/>
      <c r="K102" s="758"/>
      <c r="L102" s="758"/>
      <c r="M102" s="758"/>
      <c r="N102" s="761"/>
      <c r="O102" s="758"/>
      <c r="P102" s="758"/>
      <c r="Q102" s="758"/>
      <c r="R102" s="758"/>
      <c r="S102" s="758"/>
      <c r="T102" s="758"/>
      <c r="U102" s="758"/>
      <c r="V102" s="758"/>
      <c r="W102" s="758"/>
      <c r="X102" s="758"/>
      <c r="Y102" s="411"/>
      <c r="Z102" s="411"/>
      <c r="AA102" s="411"/>
      <c r="AB102" s="411"/>
      <c r="AC102" s="411"/>
      <c r="AD102" s="411"/>
      <c r="AE102" s="411"/>
      <c r="AF102" s="411"/>
      <c r="AG102" s="411"/>
      <c r="AH102" s="411"/>
      <c r="AI102" s="411"/>
      <c r="AJ102" s="411"/>
      <c r="AK102" s="411"/>
      <c r="AL102" s="411"/>
      <c r="AM102" s="306"/>
    </row>
    <row r="103" spans="1:39" ht="15.75" hidden="1" outlineLevel="1">
      <c r="B103" s="513" t="s">
        <v>503</v>
      </c>
      <c r="C103" s="291"/>
      <c r="D103" s="758"/>
      <c r="E103" s="758"/>
      <c r="F103" s="758"/>
      <c r="G103" s="758"/>
      <c r="H103" s="758"/>
      <c r="I103" s="758"/>
      <c r="J103" s="758"/>
      <c r="K103" s="758"/>
      <c r="L103" s="758"/>
      <c r="M103" s="758"/>
      <c r="N103" s="758"/>
      <c r="O103" s="758"/>
      <c r="P103" s="758"/>
      <c r="Q103" s="758"/>
      <c r="R103" s="758"/>
      <c r="S103" s="758"/>
      <c r="T103" s="758"/>
      <c r="U103" s="758"/>
      <c r="V103" s="758"/>
      <c r="W103" s="758"/>
      <c r="X103" s="758"/>
      <c r="Y103" s="419"/>
      <c r="Z103" s="422"/>
      <c r="AA103" s="422"/>
      <c r="AB103" s="422"/>
      <c r="AC103" s="422"/>
      <c r="AD103" s="422"/>
      <c r="AE103" s="422"/>
      <c r="AF103" s="422"/>
      <c r="AG103" s="422"/>
      <c r="AH103" s="422"/>
      <c r="AI103" s="422"/>
      <c r="AJ103" s="422"/>
      <c r="AK103" s="422"/>
      <c r="AL103" s="422"/>
      <c r="AM103" s="306"/>
    </row>
    <row r="104" spans="1:39" ht="15.75" hidden="1" outlineLevel="1">
      <c r="B104" s="288" t="s">
        <v>499</v>
      </c>
      <c r="C104" s="291"/>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419"/>
      <c r="Z104" s="422"/>
      <c r="AA104" s="422"/>
      <c r="AB104" s="422"/>
      <c r="AC104" s="422"/>
      <c r="AD104" s="422"/>
      <c r="AE104" s="422"/>
      <c r="AF104" s="422"/>
      <c r="AG104" s="422"/>
      <c r="AH104" s="422"/>
      <c r="AI104" s="422"/>
      <c r="AJ104" s="422"/>
      <c r="AK104" s="422"/>
      <c r="AL104" s="422"/>
      <c r="AM104" s="306"/>
    </row>
    <row r="105" spans="1:39" ht="30" hidden="1" outlineLevel="1">
      <c r="A105" s="517">
        <v>21</v>
      </c>
      <c r="B105" s="515" t="s">
        <v>113</v>
      </c>
      <c r="C105" s="291" t="s">
        <v>25</v>
      </c>
      <c r="D105" s="295"/>
      <c r="E105" s="295"/>
      <c r="F105" s="295"/>
      <c r="G105" s="295"/>
      <c r="H105" s="295"/>
      <c r="I105" s="295"/>
      <c r="J105" s="295"/>
      <c r="K105" s="295"/>
      <c r="L105" s="295"/>
      <c r="M105" s="295"/>
      <c r="N105" s="758"/>
      <c r="O105" s="295"/>
      <c r="P105" s="295"/>
      <c r="Q105" s="295"/>
      <c r="R105" s="295"/>
      <c r="S105" s="295"/>
      <c r="T105" s="295"/>
      <c r="U105" s="295"/>
      <c r="V105" s="295"/>
      <c r="W105" s="295"/>
      <c r="X105" s="295"/>
      <c r="Y105" s="528"/>
      <c r="Z105" s="409"/>
      <c r="AA105" s="409"/>
      <c r="AB105" s="409"/>
      <c r="AC105" s="409"/>
      <c r="AD105" s="409"/>
      <c r="AE105" s="409"/>
      <c r="AF105" s="409"/>
      <c r="AG105" s="409"/>
      <c r="AH105" s="409"/>
      <c r="AI105" s="409"/>
      <c r="AJ105" s="409"/>
      <c r="AK105" s="409"/>
      <c r="AL105" s="409"/>
      <c r="AM105" s="296">
        <f>SUM(Y105:AL105)</f>
        <v>0</v>
      </c>
    </row>
    <row r="106" spans="1:39" hidden="1" outlineLevel="1">
      <c r="B106" s="294" t="s">
        <v>267</v>
      </c>
      <c r="C106" s="291" t="s">
        <v>163</v>
      </c>
      <c r="D106" s="295"/>
      <c r="E106" s="295"/>
      <c r="F106" s="295"/>
      <c r="G106" s="295"/>
      <c r="H106" s="295"/>
      <c r="I106" s="295"/>
      <c r="J106" s="295"/>
      <c r="K106" s="295"/>
      <c r="L106" s="295"/>
      <c r="M106" s="295"/>
      <c r="N106" s="758"/>
      <c r="O106" s="295"/>
      <c r="P106" s="295"/>
      <c r="Q106" s="295"/>
      <c r="R106" s="295"/>
      <c r="S106" s="295"/>
      <c r="T106" s="295"/>
      <c r="U106" s="295"/>
      <c r="V106" s="295"/>
      <c r="W106" s="295"/>
      <c r="X106" s="295"/>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6"/>
    </row>
    <row r="107" spans="1:39" hidden="1" outlineLevel="1">
      <c r="B107" s="294"/>
      <c r="C107" s="291"/>
      <c r="D107" s="758"/>
      <c r="E107" s="758"/>
      <c r="F107" s="758"/>
      <c r="G107" s="758"/>
      <c r="H107" s="758"/>
      <c r="I107" s="758"/>
      <c r="J107" s="758"/>
      <c r="K107" s="758"/>
      <c r="L107" s="758"/>
      <c r="M107" s="758"/>
      <c r="N107" s="758"/>
      <c r="O107" s="758"/>
      <c r="P107" s="758"/>
      <c r="Q107" s="758"/>
      <c r="R107" s="758"/>
      <c r="S107" s="758"/>
      <c r="T107" s="758"/>
      <c r="U107" s="758"/>
      <c r="V107" s="758"/>
      <c r="W107" s="758"/>
      <c r="X107" s="758"/>
      <c r="Y107" s="419"/>
      <c r="Z107" s="422"/>
      <c r="AA107" s="422"/>
      <c r="AB107" s="422"/>
      <c r="AC107" s="422"/>
      <c r="AD107" s="422"/>
      <c r="AE107" s="422"/>
      <c r="AF107" s="422"/>
      <c r="AG107" s="422"/>
      <c r="AH107" s="422"/>
      <c r="AI107" s="422"/>
      <c r="AJ107" s="422"/>
      <c r="AK107" s="422"/>
      <c r="AL107" s="422"/>
      <c r="AM107" s="306"/>
    </row>
    <row r="108" spans="1:39" ht="30" hidden="1" outlineLevel="1">
      <c r="A108" s="517">
        <v>22</v>
      </c>
      <c r="B108" s="515" t="s">
        <v>114</v>
      </c>
      <c r="C108" s="291" t="s">
        <v>25</v>
      </c>
      <c r="D108" s="295"/>
      <c r="E108" s="295"/>
      <c r="F108" s="295"/>
      <c r="G108" s="295"/>
      <c r="H108" s="295"/>
      <c r="I108" s="295"/>
      <c r="J108" s="295"/>
      <c r="K108" s="295"/>
      <c r="L108" s="295"/>
      <c r="M108" s="295"/>
      <c r="N108" s="758"/>
      <c r="O108" s="295"/>
      <c r="P108" s="295"/>
      <c r="Q108" s="295"/>
      <c r="R108" s="295"/>
      <c r="S108" s="295"/>
      <c r="T108" s="295"/>
      <c r="U108" s="295"/>
      <c r="V108" s="295"/>
      <c r="W108" s="295"/>
      <c r="X108" s="295"/>
      <c r="Y108" s="528"/>
      <c r="Z108" s="409"/>
      <c r="AA108" s="409"/>
      <c r="AB108" s="409"/>
      <c r="AC108" s="409"/>
      <c r="AD108" s="409"/>
      <c r="AE108" s="409"/>
      <c r="AF108" s="409"/>
      <c r="AG108" s="409"/>
      <c r="AH108" s="409"/>
      <c r="AI108" s="409"/>
      <c r="AJ108" s="409"/>
      <c r="AK108" s="409"/>
      <c r="AL108" s="409"/>
      <c r="AM108" s="296">
        <f>SUM(Y108:AL108)</f>
        <v>0</v>
      </c>
    </row>
    <row r="109" spans="1:39" hidden="1" outlineLevel="1">
      <c r="B109" s="294" t="s">
        <v>267</v>
      </c>
      <c r="C109" s="291" t="s">
        <v>163</v>
      </c>
      <c r="D109" s="295"/>
      <c r="E109" s="295"/>
      <c r="F109" s="295"/>
      <c r="G109" s="295"/>
      <c r="H109" s="295"/>
      <c r="I109" s="295"/>
      <c r="J109" s="295"/>
      <c r="K109" s="295"/>
      <c r="L109" s="295"/>
      <c r="M109" s="295"/>
      <c r="N109" s="758"/>
      <c r="O109" s="295"/>
      <c r="P109" s="295"/>
      <c r="Q109" s="295"/>
      <c r="R109" s="295"/>
      <c r="S109" s="295"/>
      <c r="T109" s="295"/>
      <c r="U109" s="295"/>
      <c r="V109" s="295"/>
      <c r="W109" s="295"/>
      <c r="X109" s="295"/>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6"/>
    </row>
    <row r="110" spans="1:39" hidden="1" outlineLevel="1">
      <c r="B110" s="294"/>
      <c r="C110" s="291"/>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419"/>
      <c r="Z110" s="422"/>
      <c r="AA110" s="422"/>
      <c r="AB110" s="422"/>
      <c r="AC110" s="422"/>
      <c r="AD110" s="422"/>
      <c r="AE110" s="422"/>
      <c r="AF110" s="422"/>
      <c r="AG110" s="422"/>
      <c r="AH110" s="422"/>
      <c r="AI110" s="422"/>
      <c r="AJ110" s="422"/>
      <c r="AK110" s="422"/>
      <c r="AL110" s="422"/>
      <c r="AM110" s="306"/>
    </row>
    <row r="111" spans="1:39" ht="30" hidden="1" outlineLevel="1">
      <c r="A111" s="517">
        <v>23</v>
      </c>
      <c r="B111" s="515" t="s">
        <v>115</v>
      </c>
      <c r="C111" s="291" t="s">
        <v>25</v>
      </c>
      <c r="D111" s="295"/>
      <c r="E111" s="295"/>
      <c r="F111" s="295"/>
      <c r="G111" s="295"/>
      <c r="H111" s="295"/>
      <c r="I111" s="295"/>
      <c r="J111" s="295"/>
      <c r="K111" s="295"/>
      <c r="L111" s="295"/>
      <c r="M111" s="295"/>
      <c r="N111" s="758"/>
      <c r="O111" s="295"/>
      <c r="P111" s="295"/>
      <c r="Q111" s="295"/>
      <c r="R111" s="295"/>
      <c r="S111" s="295"/>
      <c r="T111" s="295"/>
      <c r="U111" s="295"/>
      <c r="V111" s="295"/>
      <c r="W111" s="295"/>
      <c r="X111" s="295"/>
      <c r="Y111" s="409"/>
      <c r="Z111" s="409"/>
      <c r="AA111" s="409"/>
      <c r="AB111" s="409"/>
      <c r="AC111" s="409"/>
      <c r="AD111" s="409"/>
      <c r="AE111" s="409"/>
      <c r="AF111" s="409"/>
      <c r="AG111" s="409"/>
      <c r="AH111" s="409"/>
      <c r="AI111" s="409"/>
      <c r="AJ111" s="409"/>
      <c r="AK111" s="409"/>
      <c r="AL111" s="409"/>
      <c r="AM111" s="296">
        <f>SUM(Y111:AL111)</f>
        <v>0</v>
      </c>
    </row>
    <row r="112" spans="1:39" hidden="1" outlineLevel="1">
      <c r="B112" s="294" t="s">
        <v>267</v>
      </c>
      <c r="C112" s="291" t="s">
        <v>163</v>
      </c>
      <c r="D112" s="295"/>
      <c r="E112" s="295"/>
      <c r="F112" s="295"/>
      <c r="G112" s="295"/>
      <c r="H112" s="295"/>
      <c r="I112" s="295"/>
      <c r="J112" s="295"/>
      <c r="K112" s="295"/>
      <c r="L112" s="295"/>
      <c r="M112" s="295"/>
      <c r="N112" s="758"/>
      <c r="O112" s="295"/>
      <c r="P112" s="295"/>
      <c r="Q112" s="295"/>
      <c r="R112" s="295"/>
      <c r="S112" s="295"/>
      <c r="T112" s="295"/>
      <c r="U112" s="295"/>
      <c r="V112" s="295"/>
      <c r="W112" s="295"/>
      <c r="X112" s="295"/>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6"/>
    </row>
    <row r="113" spans="1:39" hidden="1" outlineLevel="1">
      <c r="B113" s="321"/>
      <c r="C113" s="291"/>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419"/>
      <c r="Z113" s="422"/>
      <c r="AA113" s="422"/>
      <c r="AB113" s="422"/>
      <c r="AC113" s="422"/>
      <c r="AD113" s="422"/>
      <c r="AE113" s="422"/>
      <c r="AF113" s="422"/>
      <c r="AG113" s="422"/>
      <c r="AH113" s="422"/>
      <c r="AI113" s="422"/>
      <c r="AJ113" s="422"/>
      <c r="AK113" s="422"/>
      <c r="AL113" s="422"/>
      <c r="AM113" s="306"/>
    </row>
    <row r="114" spans="1:39" ht="30" hidden="1" outlineLevel="1">
      <c r="A114" s="517">
        <v>24</v>
      </c>
      <c r="B114" s="515" t="s">
        <v>116</v>
      </c>
      <c r="C114" s="291" t="s">
        <v>25</v>
      </c>
      <c r="D114" s="295"/>
      <c r="E114" s="295"/>
      <c r="F114" s="295"/>
      <c r="G114" s="295"/>
      <c r="H114" s="295"/>
      <c r="I114" s="295"/>
      <c r="J114" s="295"/>
      <c r="K114" s="295"/>
      <c r="L114" s="295"/>
      <c r="M114" s="295"/>
      <c r="N114" s="758"/>
      <c r="O114" s="295"/>
      <c r="P114" s="295"/>
      <c r="Q114" s="295"/>
      <c r="R114" s="295"/>
      <c r="S114" s="295"/>
      <c r="T114" s="295"/>
      <c r="U114" s="295"/>
      <c r="V114" s="295"/>
      <c r="W114" s="295"/>
      <c r="X114" s="295"/>
      <c r="Y114" s="409"/>
      <c r="Z114" s="409"/>
      <c r="AA114" s="409"/>
      <c r="AB114" s="409"/>
      <c r="AC114" s="409"/>
      <c r="AD114" s="409"/>
      <c r="AE114" s="409"/>
      <c r="AF114" s="409"/>
      <c r="AG114" s="409"/>
      <c r="AH114" s="409"/>
      <c r="AI114" s="409"/>
      <c r="AJ114" s="409"/>
      <c r="AK114" s="409"/>
      <c r="AL114" s="409"/>
      <c r="AM114" s="296">
        <f>SUM(Y114:AL114)</f>
        <v>0</v>
      </c>
    </row>
    <row r="115" spans="1:39" hidden="1" outlineLevel="1">
      <c r="B115" s="294" t="s">
        <v>267</v>
      </c>
      <c r="C115" s="291" t="s">
        <v>163</v>
      </c>
      <c r="D115" s="295"/>
      <c r="E115" s="295"/>
      <c r="F115" s="295"/>
      <c r="G115" s="295"/>
      <c r="H115" s="295"/>
      <c r="I115" s="295"/>
      <c r="J115" s="295"/>
      <c r="K115" s="295"/>
      <c r="L115" s="295"/>
      <c r="M115" s="295"/>
      <c r="N115" s="758"/>
      <c r="O115" s="295"/>
      <c r="P115" s="295"/>
      <c r="Q115" s="295"/>
      <c r="R115" s="295"/>
      <c r="S115" s="295"/>
      <c r="T115" s="295"/>
      <c r="U115" s="295"/>
      <c r="V115" s="295"/>
      <c r="W115" s="295"/>
      <c r="X115" s="295"/>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6"/>
    </row>
    <row r="116" spans="1:39" hidden="1" outlineLevel="1">
      <c r="B116" s="294"/>
      <c r="C116" s="291"/>
      <c r="D116" s="758"/>
      <c r="E116" s="758"/>
      <c r="F116" s="758"/>
      <c r="G116" s="758"/>
      <c r="H116" s="758"/>
      <c r="I116" s="758"/>
      <c r="J116" s="758"/>
      <c r="K116" s="758"/>
      <c r="L116" s="758"/>
      <c r="M116" s="758"/>
      <c r="N116" s="758"/>
      <c r="O116" s="758"/>
      <c r="P116" s="758"/>
      <c r="Q116" s="758"/>
      <c r="R116" s="758"/>
      <c r="S116" s="758"/>
      <c r="T116" s="758"/>
      <c r="U116" s="758"/>
      <c r="V116" s="758"/>
      <c r="W116" s="758"/>
      <c r="X116" s="758"/>
      <c r="Y116" s="411"/>
      <c r="Z116" s="422"/>
      <c r="AA116" s="422"/>
      <c r="AB116" s="422"/>
      <c r="AC116" s="422"/>
      <c r="AD116" s="422"/>
      <c r="AE116" s="422"/>
      <c r="AF116" s="422"/>
      <c r="AG116" s="422"/>
      <c r="AH116" s="422"/>
      <c r="AI116" s="422"/>
      <c r="AJ116" s="422"/>
      <c r="AK116" s="422"/>
      <c r="AL116" s="422"/>
      <c r="AM116" s="306"/>
    </row>
    <row r="117" spans="1:39" ht="15.75" hidden="1" outlineLevel="1">
      <c r="B117" s="288" t="s">
        <v>500</v>
      </c>
      <c r="C117" s="291"/>
      <c r="D117" s="758"/>
      <c r="E117" s="758"/>
      <c r="F117" s="758"/>
      <c r="G117" s="758"/>
      <c r="H117" s="758"/>
      <c r="I117" s="758"/>
      <c r="J117" s="758"/>
      <c r="K117" s="758"/>
      <c r="L117" s="758"/>
      <c r="M117" s="758"/>
      <c r="N117" s="758"/>
      <c r="O117" s="758"/>
      <c r="P117" s="758"/>
      <c r="Q117" s="758"/>
      <c r="R117" s="758"/>
      <c r="S117" s="758"/>
      <c r="T117" s="758"/>
      <c r="U117" s="758"/>
      <c r="V117" s="758"/>
      <c r="W117" s="758"/>
      <c r="X117" s="758"/>
      <c r="Y117" s="411"/>
      <c r="Z117" s="422"/>
      <c r="AA117" s="422"/>
      <c r="AB117" s="422"/>
      <c r="AC117" s="422"/>
      <c r="AD117" s="422"/>
      <c r="AE117" s="422"/>
      <c r="AF117" s="422"/>
      <c r="AG117" s="422"/>
      <c r="AH117" s="422"/>
      <c r="AI117" s="422"/>
      <c r="AJ117" s="422"/>
      <c r="AK117" s="422"/>
      <c r="AL117" s="422"/>
      <c r="AM117" s="306"/>
    </row>
    <row r="118" spans="1:39" ht="30" hidden="1" outlineLevel="1">
      <c r="A118" s="517">
        <v>25</v>
      </c>
      <c r="B118" s="515"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3"/>
      <c r="Z118" s="409"/>
      <c r="AA118" s="409"/>
      <c r="AB118" s="409"/>
      <c r="AC118" s="409"/>
      <c r="AD118" s="409"/>
      <c r="AE118" s="409"/>
      <c r="AF118" s="414"/>
      <c r="AG118" s="414"/>
      <c r="AH118" s="414"/>
      <c r="AI118" s="414"/>
      <c r="AJ118" s="414"/>
      <c r="AK118" s="414"/>
      <c r="AL118" s="414"/>
      <c r="AM118" s="296">
        <f>SUM(Y118:AL118)</f>
        <v>0</v>
      </c>
    </row>
    <row r="119" spans="1:39" hidden="1"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6"/>
    </row>
    <row r="120" spans="1:39" hidden="1" outlineLevel="1">
      <c r="B120" s="294"/>
      <c r="C120" s="291"/>
      <c r="D120" s="758"/>
      <c r="E120" s="758"/>
      <c r="F120" s="758"/>
      <c r="G120" s="758"/>
      <c r="H120" s="758"/>
      <c r="I120" s="758"/>
      <c r="J120" s="758"/>
      <c r="K120" s="758"/>
      <c r="L120" s="758"/>
      <c r="M120" s="758"/>
      <c r="N120" s="758"/>
      <c r="O120" s="758"/>
      <c r="P120" s="758"/>
      <c r="Q120" s="758"/>
      <c r="R120" s="758"/>
      <c r="S120" s="758"/>
      <c r="T120" s="758"/>
      <c r="U120" s="758"/>
      <c r="V120" s="758"/>
      <c r="W120" s="758"/>
      <c r="X120" s="758"/>
      <c r="Y120" s="411"/>
      <c r="Z120" s="422"/>
      <c r="AA120" s="422"/>
      <c r="AB120" s="422"/>
      <c r="AC120" s="422"/>
      <c r="AD120" s="422"/>
      <c r="AE120" s="422"/>
      <c r="AF120" s="422"/>
      <c r="AG120" s="422"/>
      <c r="AH120" s="422"/>
      <c r="AI120" s="422"/>
      <c r="AJ120" s="422"/>
      <c r="AK120" s="422"/>
      <c r="AL120" s="422"/>
      <c r="AM120" s="306"/>
    </row>
    <row r="121" spans="1:39" ht="30" hidden="1" outlineLevel="1">
      <c r="A121" s="517">
        <v>26</v>
      </c>
      <c r="B121" s="515"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3"/>
      <c r="Z121" s="772">
        <v>0.12</v>
      </c>
      <c r="AA121" s="772">
        <v>0.88</v>
      </c>
      <c r="AB121" s="409"/>
      <c r="AC121" s="528"/>
      <c r="AD121" s="409"/>
      <c r="AE121" s="409"/>
      <c r="AF121" s="414"/>
      <c r="AG121" s="414"/>
      <c r="AH121" s="414"/>
      <c r="AI121" s="414"/>
      <c r="AJ121" s="414"/>
      <c r="AK121" s="414"/>
      <c r="AL121" s="414"/>
      <c r="AM121" s="296">
        <f>SUM(Y121:AL121)</f>
        <v>1</v>
      </c>
    </row>
    <row r="122" spans="1:39" hidden="1" outlineLevel="1">
      <c r="B122" s="294" t="s">
        <v>267</v>
      </c>
      <c r="C122" s="291" t="s">
        <v>163</v>
      </c>
      <c r="D122" s="295">
        <f>+'7.  Persistence Report'!AU183</f>
        <v>297205</v>
      </c>
      <c r="E122" s="295">
        <f>+'7.  Persistence Report'!AV183</f>
        <v>297205</v>
      </c>
      <c r="F122" s="295">
        <f>+'7.  Persistence Report'!AW183</f>
        <v>297205</v>
      </c>
      <c r="G122" s="295">
        <f>+'7.  Persistence Report'!AX183</f>
        <v>297205</v>
      </c>
      <c r="H122" s="295">
        <f>+'7.  Persistence Report'!AY183</f>
        <v>297205</v>
      </c>
      <c r="I122" s="295">
        <f>+'7.  Persistence Report'!AZ183</f>
        <v>297205</v>
      </c>
      <c r="J122" s="295">
        <f>+'7.  Persistence Report'!BA183</f>
        <v>275856</v>
      </c>
      <c r="K122" s="295">
        <f>+'7.  Persistence Report'!BB183</f>
        <v>275856</v>
      </c>
      <c r="L122" s="295">
        <f>+'7.  Persistence Report'!BC183</f>
        <v>275856</v>
      </c>
      <c r="M122" s="295">
        <f>+'7.  Persistence Report'!BD183</f>
        <v>208436</v>
      </c>
      <c r="N122" s="295">
        <f>N121</f>
        <v>12</v>
      </c>
      <c r="O122" s="295">
        <f>+'7.  Persistence Report'!P183</f>
        <v>60</v>
      </c>
      <c r="P122" s="295">
        <f>+'7.  Persistence Report'!Q183</f>
        <v>60</v>
      </c>
      <c r="Q122" s="295">
        <f>+'7.  Persistence Report'!R183</f>
        <v>60</v>
      </c>
      <c r="R122" s="295">
        <f>+'7.  Persistence Report'!S183</f>
        <v>60</v>
      </c>
      <c r="S122" s="295">
        <f>+'7.  Persistence Report'!T183</f>
        <v>60</v>
      </c>
      <c r="T122" s="295">
        <f>+'7.  Persistence Report'!U183</f>
        <v>60</v>
      </c>
      <c r="U122" s="295">
        <f>+'7.  Persistence Report'!V183</f>
        <v>56</v>
      </c>
      <c r="V122" s="295">
        <f>+'7.  Persistence Report'!W183</f>
        <v>56</v>
      </c>
      <c r="W122" s="295">
        <f>+'7.  Persistence Report'!X183</f>
        <v>56</v>
      </c>
      <c r="X122" s="295">
        <f>+'7.  Persistence Report'!Y183</f>
        <v>41</v>
      </c>
      <c r="Y122" s="410">
        <f>Y121</f>
        <v>0</v>
      </c>
      <c r="Z122" s="410">
        <f t="shared" ref="Z122" si="241">Z121</f>
        <v>0.12</v>
      </c>
      <c r="AA122" s="410">
        <f t="shared" ref="AA122" si="242">AA121</f>
        <v>0.88</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6"/>
    </row>
    <row r="123" spans="1:39" hidden="1" outlineLevel="1">
      <c r="B123" s="294"/>
      <c r="C123" s="291"/>
      <c r="D123" s="758"/>
      <c r="E123" s="758"/>
      <c r="F123" s="758"/>
      <c r="G123" s="758"/>
      <c r="H123" s="758"/>
      <c r="I123" s="758"/>
      <c r="J123" s="758"/>
      <c r="K123" s="758"/>
      <c r="L123" s="758"/>
      <c r="M123" s="758"/>
      <c r="N123" s="758"/>
      <c r="O123" s="758"/>
      <c r="P123" s="758"/>
      <c r="Q123" s="758"/>
      <c r="R123" s="758"/>
      <c r="S123" s="758"/>
      <c r="T123" s="758"/>
      <c r="U123" s="758"/>
      <c r="V123" s="758"/>
      <c r="W123" s="758"/>
      <c r="X123" s="758"/>
      <c r="Y123" s="411"/>
      <c r="Z123" s="422"/>
      <c r="AA123" s="422"/>
      <c r="AB123" s="422"/>
      <c r="AC123" s="422"/>
      <c r="AD123" s="422"/>
      <c r="AE123" s="422"/>
      <c r="AF123" s="422"/>
      <c r="AG123" s="422"/>
      <c r="AH123" s="422"/>
      <c r="AI123" s="422"/>
      <c r="AJ123" s="422"/>
      <c r="AK123" s="422"/>
      <c r="AL123" s="422"/>
      <c r="AM123" s="306"/>
    </row>
    <row r="124" spans="1:39" ht="30" hidden="1" outlineLevel="1">
      <c r="A124" s="517">
        <v>27</v>
      </c>
      <c r="B124" s="515"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3"/>
      <c r="Z124" s="409"/>
      <c r="AA124" s="409"/>
      <c r="AB124" s="409"/>
      <c r="AC124" s="409"/>
      <c r="AD124" s="409"/>
      <c r="AE124" s="409"/>
      <c r="AF124" s="414"/>
      <c r="AG124" s="414"/>
      <c r="AH124" s="414"/>
      <c r="AI124" s="414"/>
      <c r="AJ124" s="414"/>
      <c r="AK124" s="414"/>
      <c r="AL124" s="414"/>
      <c r="AM124" s="296">
        <f>SUM(Y124:AL124)</f>
        <v>0</v>
      </c>
    </row>
    <row r="125" spans="1:39"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6"/>
    </row>
    <row r="126" spans="1:39" hidden="1" outlineLevel="1">
      <c r="B126" s="294"/>
      <c r="C126" s="291"/>
      <c r="D126" s="758"/>
      <c r="E126" s="758"/>
      <c r="F126" s="758"/>
      <c r="G126" s="758"/>
      <c r="H126" s="758"/>
      <c r="I126" s="758"/>
      <c r="J126" s="758"/>
      <c r="K126" s="758"/>
      <c r="L126" s="758"/>
      <c r="M126" s="758"/>
      <c r="N126" s="758"/>
      <c r="O126" s="758"/>
      <c r="P126" s="758"/>
      <c r="Q126" s="758"/>
      <c r="R126" s="758"/>
      <c r="S126" s="758"/>
      <c r="T126" s="758"/>
      <c r="U126" s="758"/>
      <c r="V126" s="758"/>
      <c r="W126" s="758"/>
      <c r="X126" s="758"/>
      <c r="Y126" s="411"/>
      <c r="Z126" s="422"/>
      <c r="AA126" s="422"/>
      <c r="AB126" s="422"/>
      <c r="AC126" s="422"/>
      <c r="AD126" s="422"/>
      <c r="AE126" s="422"/>
      <c r="AF126" s="422"/>
      <c r="AG126" s="422"/>
      <c r="AH126" s="422"/>
      <c r="AI126" s="422"/>
      <c r="AJ126" s="422"/>
      <c r="AK126" s="422"/>
      <c r="AL126" s="422"/>
      <c r="AM126" s="306"/>
    </row>
    <row r="127" spans="1:39" ht="45" hidden="1" outlineLevel="1">
      <c r="A127" s="517">
        <v>28</v>
      </c>
      <c r="B127" s="515"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3"/>
      <c r="Z127" s="409"/>
      <c r="AA127" s="409"/>
      <c r="AB127" s="409"/>
      <c r="AC127" s="409"/>
      <c r="AD127" s="409"/>
      <c r="AE127" s="409"/>
      <c r="AF127" s="414"/>
      <c r="AG127" s="414"/>
      <c r="AH127" s="414"/>
      <c r="AI127" s="414"/>
      <c r="AJ127" s="414"/>
      <c r="AK127" s="414"/>
      <c r="AL127" s="414"/>
      <c r="AM127" s="296">
        <f>SUM(Y127:AL127)</f>
        <v>0</v>
      </c>
    </row>
    <row r="128" spans="1:39"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6"/>
    </row>
    <row r="129" spans="1:39" hidden="1" outlineLevel="1">
      <c r="B129" s="294"/>
      <c r="C129" s="291"/>
      <c r="D129" s="758"/>
      <c r="E129" s="758"/>
      <c r="F129" s="758"/>
      <c r="G129" s="758"/>
      <c r="H129" s="758"/>
      <c r="I129" s="758"/>
      <c r="J129" s="758"/>
      <c r="K129" s="758"/>
      <c r="L129" s="758"/>
      <c r="M129" s="758"/>
      <c r="N129" s="758"/>
      <c r="O129" s="758"/>
      <c r="P129" s="758"/>
      <c r="Q129" s="758"/>
      <c r="R129" s="758"/>
      <c r="S129" s="758"/>
      <c r="T129" s="758"/>
      <c r="U129" s="758"/>
      <c r="V129" s="758"/>
      <c r="W129" s="758"/>
      <c r="X129" s="758"/>
      <c r="Y129" s="411"/>
      <c r="Z129" s="422"/>
      <c r="AA129" s="422"/>
      <c r="AB129" s="422"/>
      <c r="AC129" s="422"/>
      <c r="AD129" s="422"/>
      <c r="AE129" s="422"/>
      <c r="AF129" s="422"/>
      <c r="AG129" s="422"/>
      <c r="AH129" s="422"/>
      <c r="AI129" s="422"/>
      <c r="AJ129" s="422"/>
      <c r="AK129" s="422"/>
      <c r="AL129" s="422"/>
      <c r="AM129" s="306"/>
    </row>
    <row r="130" spans="1:39" ht="45" hidden="1" outlineLevel="1">
      <c r="A130" s="517">
        <v>29</v>
      </c>
      <c r="B130" s="515"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3"/>
      <c r="Z130" s="409"/>
      <c r="AA130" s="409"/>
      <c r="AB130" s="409"/>
      <c r="AC130" s="409"/>
      <c r="AD130" s="409"/>
      <c r="AE130" s="409"/>
      <c r="AF130" s="414"/>
      <c r="AG130" s="414"/>
      <c r="AH130" s="414"/>
      <c r="AI130" s="414"/>
      <c r="AJ130" s="414"/>
      <c r="AK130" s="414"/>
      <c r="AL130" s="414"/>
      <c r="AM130" s="296">
        <f>SUM(Y130:AL130)</f>
        <v>0</v>
      </c>
    </row>
    <row r="131" spans="1:39"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6"/>
    </row>
    <row r="132" spans="1:39" hidden="1" outlineLevel="1">
      <c r="B132" s="294"/>
      <c r="C132" s="291"/>
      <c r="D132" s="758"/>
      <c r="E132" s="758"/>
      <c r="F132" s="758"/>
      <c r="G132" s="758"/>
      <c r="H132" s="758"/>
      <c r="I132" s="758"/>
      <c r="J132" s="758"/>
      <c r="K132" s="758"/>
      <c r="L132" s="758"/>
      <c r="M132" s="758"/>
      <c r="N132" s="758"/>
      <c r="O132" s="758"/>
      <c r="P132" s="758"/>
      <c r="Q132" s="758"/>
      <c r="R132" s="758"/>
      <c r="S132" s="758"/>
      <c r="T132" s="758"/>
      <c r="U132" s="758"/>
      <c r="V132" s="758"/>
      <c r="W132" s="758"/>
      <c r="X132" s="758"/>
      <c r="Y132" s="411"/>
      <c r="Z132" s="422"/>
      <c r="AA132" s="422"/>
      <c r="AB132" s="422"/>
      <c r="AC132" s="422"/>
      <c r="AD132" s="422"/>
      <c r="AE132" s="422"/>
      <c r="AF132" s="422"/>
      <c r="AG132" s="422"/>
      <c r="AH132" s="422"/>
      <c r="AI132" s="422"/>
      <c r="AJ132" s="422"/>
      <c r="AK132" s="422"/>
      <c r="AL132" s="422"/>
      <c r="AM132" s="306"/>
    </row>
    <row r="133" spans="1:39" ht="30" hidden="1" outlineLevel="1">
      <c r="A133" s="517">
        <v>30</v>
      </c>
      <c r="B133" s="515"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3"/>
      <c r="Z133" s="409"/>
      <c r="AA133" s="409"/>
      <c r="AB133" s="409"/>
      <c r="AC133" s="409"/>
      <c r="AD133" s="409"/>
      <c r="AE133" s="409"/>
      <c r="AF133" s="414"/>
      <c r="AG133" s="414"/>
      <c r="AH133" s="414"/>
      <c r="AI133" s="414"/>
      <c r="AJ133" s="414"/>
      <c r="AK133" s="414"/>
      <c r="AL133" s="414"/>
      <c r="AM133" s="296">
        <f>SUM(Y133:AL133)</f>
        <v>0</v>
      </c>
    </row>
    <row r="134" spans="1:39"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6"/>
    </row>
    <row r="135" spans="1:39" hidden="1" outlineLevel="1">
      <c r="B135" s="294"/>
      <c r="C135" s="291"/>
      <c r="D135" s="758"/>
      <c r="E135" s="758"/>
      <c r="F135" s="758"/>
      <c r="G135" s="758"/>
      <c r="H135" s="758"/>
      <c r="I135" s="758"/>
      <c r="J135" s="758"/>
      <c r="K135" s="758"/>
      <c r="L135" s="758"/>
      <c r="M135" s="758"/>
      <c r="N135" s="758"/>
      <c r="O135" s="758"/>
      <c r="P135" s="758"/>
      <c r="Q135" s="758"/>
      <c r="R135" s="758"/>
      <c r="S135" s="758"/>
      <c r="T135" s="758"/>
      <c r="U135" s="758"/>
      <c r="V135" s="758"/>
      <c r="W135" s="758"/>
      <c r="X135" s="758"/>
      <c r="Y135" s="411"/>
      <c r="Z135" s="422"/>
      <c r="AA135" s="422"/>
      <c r="AB135" s="422"/>
      <c r="AC135" s="422"/>
      <c r="AD135" s="422"/>
      <c r="AE135" s="422"/>
      <c r="AF135" s="422"/>
      <c r="AG135" s="422"/>
      <c r="AH135" s="422"/>
      <c r="AI135" s="422"/>
      <c r="AJ135" s="422"/>
      <c r="AK135" s="422"/>
      <c r="AL135" s="422"/>
      <c r="AM135" s="306"/>
    </row>
    <row r="136" spans="1:39" ht="30" hidden="1" outlineLevel="1">
      <c r="A136" s="517">
        <v>31</v>
      </c>
      <c r="B136" s="515"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3"/>
      <c r="Z136" s="409"/>
      <c r="AA136" s="409"/>
      <c r="AB136" s="409"/>
      <c r="AC136" s="409"/>
      <c r="AD136" s="409"/>
      <c r="AE136" s="409"/>
      <c r="AF136" s="414"/>
      <c r="AG136" s="414"/>
      <c r="AH136" s="414"/>
      <c r="AI136" s="414"/>
      <c r="AJ136" s="414"/>
      <c r="AK136" s="414"/>
      <c r="AL136" s="414"/>
      <c r="AM136" s="296">
        <f>SUM(Y136:AL136)</f>
        <v>0</v>
      </c>
    </row>
    <row r="137" spans="1:39"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6"/>
    </row>
    <row r="138" spans="1:39" hidden="1" outlineLevel="1">
      <c r="B138" s="515"/>
      <c r="C138" s="291"/>
      <c r="D138" s="758"/>
      <c r="E138" s="758"/>
      <c r="F138" s="758"/>
      <c r="G138" s="758"/>
      <c r="H138" s="758"/>
      <c r="I138" s="758"/>
      <c r="J138" s="758"/>
      <c r="K138" s="758"/>
      <c r="L138" s="758"/>
      <c r="M138" s="758"/>
      <c r="N138" s="758"/>
      <c r="O138" s="758"/>
      <c r="P138" s="758"/>
      <c r="Q138" s="758"/>
      <c r="R138" s="758"/>
      <c r="S138" s="758"/>
      <c r="T138" s="758"/>
      <c r="U138" s="758"/>
      <c r="V138" s="758"/>
      <c r="W138" s="758"/>
      <c r="X138" s="758"/>
      <c r="Y138" s="411"/>
      <c r="Z138" s="422"/>
      <c r="AA138" s="422"/>
      <c r="AB138" s="422"/>
      <c r="AC138" s="422"/>
      <c r="AD138" s="422"/>
      <c r="AE138" s="422"/>
      <c r="AF138" s="422"/>
      <c r="AG138" s="422"/>
      <c r="AH138" s="422"/>
      <c r="AI138" s="422"/>
      <c r="AJ138" s="422"/>
      <c r="AK138" s="422"/>
      <c r="AL138" s="422"/>
      <c r="AM138" s="306"/>
    </row>
    <row r="139" spans="1:39" ht="15.75" hidden="1" customHeight="1" outlineLevel="1">
      <c r="A139" s="517">
        <v>32</v>
      </c>
      <c r="B139" s="515"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3"/>
      <c r="Z139" s="409"/>
      <c r="AA139" s="409"/>
      <c r="AB139" s="409"/>
      <c r="AC139" s="409"/>
      <c r="AD139" s="409"/>
      <c r="AE139" s="409"/>
      <c r="AF139" s="414"/>
      <c r="AG139" s="414"/>
      <c r="AH139" s="414"/>
      <c r="AI139" s="414"/>
      <c r="AJ139" s="414"/>
      <c r="AK139" s="414"/>
      <c r="AL139" s="414"/>
      <c r="AM139" s="296">
        <f>SUM(Y139:AL139)</f>
        <v>0</v>
      </c>
    </row>
    <row r="140" spans="1:39"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6"/>
    </row>
    <row r="141" spans="1:39" hidden="1" outlineLevel="1">
      <c r="B141" s="515"/>
      <c r="C141" s="291"/>
      <c r="D141" s="758"/>
      <c r="E141" s="758"/>
      <c r="F141" s="758"/>
      <c r="G141" s="758"/>
      <c r="H141" s="758"/>
      <c r="I141" s="758"/>
      <c r="J141" s="758"/>
      <c r="K141" s="758"/>
      <c r="L141" s="758"/>
      <c r="M141" s="758"/>
      <c r="N141" s="758"/>
      <c r="O141" s="758"/>
      <c r="P141" s="758"/>
      <c r="Q141" s="758"/>
      <c r="R141" s="758"/>
      <c r="S141" s="758"/>
      <c r="T141" s="758"/>
      <c r="U141" s="758"/>
      <c r="V141" s="758"/>
      <c r="W141" s="758"/>
      <c r="X141" s="758"/>
      <c r="Y141" s="411"/>
      <c r="Z141" s="422"/>
      <c r="AA141" s="422"/>
      <c r="AB141" s="422"/>
      <c r="AC141" s="422"/>
      <c r="AD141" s="422"/>
      <c r="AE141" s="422"/>
      <c r="AF141" s="422"/>
      <c r="AG141" s="422"/>
      <c r="AH141" s="422"/>
      <c r="AI141" s="422"/>
      <c r="AJ141" s="422"/>
      <c r="AK141" s="422"/>
      <c r="AL141" s="422"/>
      <c r="AM141" s="306"/>
    </row>
    <row r="142" spans="1:39" ht="15.75" hidden="1" outlineLevel="1">
      <c r="B142" s="288" t="s">
        <v>501</v>
      </c>
      <c r="C142" s="291"/>
      <c r="D142" s="758"/>
      <c r="E142" s="758"/>
      <c r="F142" s="758"/>
      <c r="G142" s="758"/>
      <c r="H142" s="758"/>
      <c r="I142" s="758"/>
      <c r="J142" s="758"/>
      <c r="K142" s="758"/>
      <c r="L142" s="758"/>
      <c r="M142" s="758"/>
      <c r="N142" s="758"/>
      <c r="O142" s="758"/>
      <c r="P142" s="758"/>
      <c r="Q142" s="758"/>
      <c r="R142" s="758"/>
      <c r="S142" s="758"/>
      <c r="T142" s="758"/>
      <c r="U142" s="758"/>
      <c r="V142" s="758"/>
      <c r="W142" s="758"/>
      <c r="X142" s="758"/>
      <c r="Y142" s="411"/>
      <c r="Z142" s="422"/>
      <c r="AA142" s="422"/>
      <c r="AB142" s="422"/>
      <c r="AC142" s="422"/>
      <c r="AD142" s="422"/>
      <c r="AE142" s="422"/>
      <c r="AF142" s="422"/>
      <c r="AG142" s="422"/>
      <c r="AH142" s="422"/>
      <c r="AI142" s="422"/>
      <c r="AJ142" s="422"/>
      <c r="AK142" s="422"/>
      <c r="AL142" s="422"/>
      <c r="AM142" s="306"/>
    </row>
    <row r="143" spans="1:39" ht="30" hidden="1" outlineLevel="1">
      <c r="A143" s="517">
        <v>33</v>
      </c>
      <c r="B143" s="515"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3"/>
      <c r="Z143" s="409"/>
      <c r="AA143" s="409"/>
      <c r="AB143" s="409"/>
      <c r="AC143" s="409"/>
      <c r="AD143" s="409"/>
      <c r="AE143" s="409"/>
      <c r="AF143" s="414"/>
      <c r="AG143" s="414"/>
      <c r="AH143" s="414"/>
      <c r="AI143" s="414"/>
      <c r="AJ143" s="414"/>
      <c r="AK143" s="414"/>
      <c r="AL143" s="414"/>
      <c r="AM143" s="296">
        <f>SUM(Y143:AL143)</f>
        <v>0</v>
      </c>
    </row>
    <row r="144" spans="1:39"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6"/>
    </row>
    <row r="145" spans="1:39" hidden="1" outlineLevel="1">
      <c r="B145" s="515"/>
      <c r="C145" s="291"/>
      <c r="D145" s="758"/>
      <c r="E145" s="758"/>
      <c r="F145" s="758"/>
      <c r="G145" s="758"/>
      <c r="H145" s="758"/>
      <c r="I145" s="758"/>
      <c r="J145" s="758"/>
      <c r="K145" s="758"/>
      <c r="L145" s="758"/>
      <c r="M145" s="758"/>
      <c r="N145" s="758"/>
      <c r="O145" s="758"/>
      <c r="P145" s="758"/>
      <c r="Q145" s="758"/>
      <c r="R145" s="758"/>
      <c r="S145" s="758"/>
      <c r="T145" s="758"/>
      <c r="U145" s="758"/>
      <c r="V145" s="758"/>
      <c r="W145" s="758"/>
      <c r="X145" s="758"/>
      <c r="Y145" s="411"/>
      <c r="Z145" s="422"/>
      <c r="AA145" s="422"/>
      <c r="AB145" s="422"/>
      <c r="AC145" s="422"/>
      <c r="AD145" s="422"/>
      <c r="AE145" s="422"/>
      <c r="AF145" s="422"/>
      <c r="AG145" s="422"/>
      <c r="AH145" s="422"/>
      <c r="AI145" s="422"/>
      <c r="AJ145" s="422"/>
      <c r="AK145" s="422"/>
      <c r="AL145" s="422"/>
      <c r="AM145" s="306"/>
    </row>
    <row r="146" spans="1:39" ht="30" hidden="1" outlineLevel="1">
      <c r="A146" s="517">
        <v>34</v>
      </c>
      <c r="B146" s="515"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3"/>
      <c r="Z146" s="409"/>
      <c r="AA146" s="409"/>
      <c r="AB146" s="409"/>
      <c r="AC146" s="409"/>
      <c r="AD146" s="409"/>
      <c r="AE146" s="409"/>
      <c r="AF146" s="414"/>
      <c r="AG146" s="414"/>
      <c r="AH146" s="414"/>
      <c r="AI146" s="414"/>
      <c r="AJ146" s="414"/>
      <c r="AK146" s="414"/>
      <c r="AL146" s="414"/>
      <c r="AM146" s="296">
        <f>SUM(Y146:AL146)</f>
        <v>0</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6"/>
    </row>
    <row r="148" spans="1:39" hidden="1" outlineLevel="1">
      <c r="B148" s="515"/>
      <c r="C148" s="291"/>
      <c r="D148" s="758"/>
      <c r="E148" s="758"/>
      <c r="F148" s="758"/>
      <c r="G148" s="758"/>
      <c r="H148" s="758"/>
      <c r="I148" s="758"/>
      <c r="J148" s="758"/>
      <c r="K148" s="758"/>
      <c r="L148" s="758"/>
      <c r="M148" s="758"/>
      <c r="N148" s="758"/>
      <c r="O148" s="758"/>
      <c r="P148" s="758"/>
      <c r="Q148" s="758"/>
      <c r="R148" s="758"/>
      <c r="S148" s="758"/>
      <c r="T148" s="758"/>
      <c r="U148" s="758"/>
      <c r="V148" s="758"/>
      <c r="W148" s="758"/>
      <c r="X148" s="758"/>
      <c r="Y148" s="411"/>
      <c r="Z148" s="422"/>
      <c r="AA148" s="422"/>
      <c r="AB148" s="422"/>
      <c r="AC148" s="422"/>
      <c r="AD148" s="422"/>
      <c r="AE148" s="422"/>
      <c r="AF148" s="422"/>
      <c r="AG148" s="422"/>
      <c r="AH148" s="422"/>
      <c r="AI148" s="422"/>
      <c r="AJ148" s="422"/>
      <c r="AK148" s="422"/>
      <c r="AL148" s="422"/>
      <c r="AM148" s="306"/>
    </row>
    <row r="149" spans="1:39" ht="30" hidden="1" outlineLevel="1">
      <c r="A149" s="517">
        <v>35</v>
      </c>
      <c r="B149" s="515"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3"/>
      <c r="Z149" s="409"/>
      <c r="AA149" s="409"/>
      <c r="AB149" s="409"/>
      <c r="AC149" s="409"/>
      <c r="AD149" s="409"/>
      <c r="AE149" s="409"/>
      <c r="AF149" s="414"/>
      <c r="AG149" s="414"/>
      <c r="AH149" s="414"/>
      <c r="AI149" s="414"/>
      <c r="AJ149" s="414"/>
      <c r="AK149" s="414"/>
      <c r="AL149" s="414"/>
      <c r="AM149" s="296">
        <f>SUM(Y149:AL149)</f>
        <v>0</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6"/>
    </row>
    <row r="151" spans="1:39" hidden="1" outlineLevel="1">
      <c r="B151" s="294"/>
      <c r="C151" s="291"/>
      <c r="D151" s="758"/>
      <c r="E151" s="758"/>
      <c r="F151" s="758"/>
      <c r="G151" s="758"/>
      <c r="H151" s="758"/>
      <c r="I151" s="758"/>
      <c r="J151" s="758"/>
      <c r="K151" s="758"/>
      <c r="L151" s="758"/>
      <c r="M151" s="758"/>
      <c r="N151" s="758"/>
      <c r="O151" s="758"/>
      <c r="P151" s="758"/>
      <c r="Q151" s="758"/>
      <c r="R151" s="758"/>
      <c r="S151" s="758"/>
      <c r="T151" s="758"/>
      <c r="U151" s="758"/>
      <c r="V151" s="758"/>
      <c r="W151" s="758"/>
      <c r="X151" s="758"/>
      <c r="Y151" s="411"/>
      <c r="Z151" s="422"/>
      <c r="AA151" s="422"/>
      <c r="AB151" s="422"/>
      <c r="AC151" s="422"/>
      <c r="AD151" s="422"/>
      <c r="AE151" s="422"/>
      <c r="AF151" s="422"/>
      <c r="AG151" s="422"/>
      <c r="AH151" s="422"/>
      <c r="AI151" s="422"/>
      <c r="AJ151" s="422"/>
      <c r="AK151" s="422"/>
      <c r="AL151" s="422"/>
      <c r="AM151" s="306"/>
    </row>
    <row r="152" spans="1:39" ht="15.75" hidden="1" outlineLevel="1">
      <c r="B152" s="288" t="s">
        <v>502</v>
      </c>
      <c r="C152" s="291"/>
      <c r="D152" s="758"/>
      <c r="E152" s="758"/>
      <c r="F152" s="758"/>
      <c r="G152" s="758"/>
      <c r="H152" s="758"/>
      <c r="I152" s="758"/>
      <c r="J152" s="758"/>
      <c r="K152" s="758"/>
      <c r="L152" s="758"/>
      <c r="M152" s="758"/>
      <c r="N152" s="758"/>
      <c r="O152" s="758"/>
      <c r="P152" s="758"/>
      <c r="Q152" s="758"/>
      <c r="R152" s="758"/>
      <c r="S152" s="758"/>
      <c r="T152" s="758"/>
      <c r="U152" s="758"/>
      <c r="V152" s="758"/>
      <c r="W152" s="758"/>
      <c r="X152" s="758"/>
      <c r="Y152" s="411"/>
      <c r="Z152" s="422"/>
      <c r="AA152" s="422"/>
      <c r="AB152" s="422"/>
      <c r="AC152" s="422"/>
      <c r="AD152" s="422"/>
      <c r="AE152" s="422"/>
      <c r="AF152" s="422"/>
      <c r="AG152" s="422"/>
      <c r="AH152" s="422"/>
      <c r="AI152" s="422"/>
      <c r="AJ152" s="422"/>
      <c r="AK152" s="422"/>
      <c r="AL152" s="422"/>
      <c r="AM152" s="306"/>
    </row>
    <row r="153" spans="1:39" ht="75" hidden="1" outlineLevel="1">
      <c r="A153" s="517">
        <v>36</v>
      </c>
      <c r="B153" s="515"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3"/>
      <c r="Z153" s="409"/>
      <c r="AA153" s="409"/>
      <c r="AB153" s="409"/>
      <c r="AC153" s="409"/>
      <c r="AD153" s="409"/>
      <c r="AE153" s="409"/>
      <c r="AF153" s="414"/>
      <c r="AG153" s="414"/>
      <c r="AH153" s="414"/>
      <c r="AI153" s="414"/>
      <c r="AJ153" s="414"/>
      <c r="AK153" s="414"/>
      <c r="AL153" s="414"/>
      <c r="AM153" s="296">
        <f>SUM(Y153:AL153)</f>
        <v>0</v>
      </c>
    </row>
    <row r="154" spans="1:39"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6"/>
    </row>
    <row r="155" spans="1:39" hidden="1" outlineLevel="1">
      <c r="B155" s="515"/>
      <c r="C155" s="291"/>
      <c r="D155" s="758"/>
      <c r="E155" s="758"/>
      <c r="F155" s="758"/>
      <c r="G155" s="758"/>
      <c r="H155" s="758"/>
      <c r="I155" s="758"/>
      <c r="J155" s="758"/>
      <c r="K155" s="758"/>
      <c r="L155" s="758"/>
      <c r="M155" s="758"/>
      <c r="N155" s="758"/>
      <c r="O155" s="758"/>
      <c r="P155" s="758"/>
      <c r="Q155" s="758"/>
      <c r="R155" s="758"/>
      <c r="S155" s="758"/>
      <c r="T155" s="758"/>
      <c r="U155" s="758"/>
      <c r="V155" s="758"/>
      <c r="W155" s="758"/>
      <c r="X155" s="758"/>
      <c r="Y155" s="411"/>
      <c r="Z155" s="422"/>
      <c r="AA155" s="422"/>
      <c r="AB155" s="422"/>
      <c r="AC155" s="422"/>
      <c r="AD155" s="422"/>
      <c r="AE155" s="422"/>
      <c r="AF155" s="422"/>
      <c r="AG155" s="422"/>
      <c r="AH155" s="422"/>
      <c r="AI155" s="422"/>
      <c r="AJ155" s="422"/>
      <c r="AK155" s="422"/>
      <c r="AL155" s="422"/>
      <c r="AM155" s="306"/>
    </row>
    <row r="156" spans="1:39" ht="30" hidden="1" outlineLevel="1">
      <c r="A156" s="517">
        <v>37</v>
      </c>
      <c r="B156" s="515"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3"/>
      <c r="Z156" s="409"/>
      <c r="AA156" s="409"/>
      <c r="AB156" s="409"/>
      <c r="AC156" s="409"/>
      <c r="AD156" s="409"/>
      <c r="AE156" s="409"/>
      <c r="AF156" s="414"/>
      <c r="AG156" s="414"/>
      <c r="AH156" s="414"/>
      <c r="AI156" s="414"/>
      <c r="AJ156" s="414"/>
      <c r="AK156" s="414"/>
      <c r="AL156" s="414"/>
      <c r="AM156" s="296">
        <f>SUM(Y156:AL156)</f>
        <v>0</v>
      </c>
    </row>
    <row r="157" spans="1:39"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6"/>
    </row>
    <row r="158" spans="1:39" hidden="1" outlineLevel="1">
      <c r="B158" s="515"/>
      <c r="C158" s="291"/>
      <c r="D158" s="758"/>
      <c r="E158" s="758"/>
      <c r="F158" s="758"/>
      <c r="G158" s="758"/>
      <c r="H158" s="758"/>
      <c r="I158" s="758"/>
      <c r="J158" s="758"/>
      <c r="K158" s="758"/>
      <c r="L158" s="758"/>
      <c r="M158" s="758"/>
      <c r="N158" s="758"/>
      <c r="O158" s="758"/>
      <c r="P158" s="758"/>
      <c r="Q158" s="758"/>
      <c r="R158" s="758"/>
      <c r="S158" s="758"/>
      <c r="T158" s="758"/>
      <c r="U158" s="758"/>
      <c r="V158" s="758"/>
      <c r="W158" s="758"/>
      <c r="X158" s="758"/>
      <c r="Y158" s="411"/>
      <c r="Z158" s="422"/>
      <c r="AA158" s="422"/>
      <c r="AB158" s="422"/>
      <c r="AC158" s="422"/>
      <c r="AD158" s="422"/>
      <c r="AE158" s="422"/>
      <c r="AF158" s="422"/>
      <c r="AG158" s="422"/>
      <c r="AH158" s="422"/>
      <c r="AI158" s="422"/>
      <c r="AJ158" s="422"/>
      <c r="AK158" s="422"/>
      <c r="AL158" s="422"/>
      <c r="AM158" s="306"/>
    </row>
    <row r="159" spans="1:39" ht="30" hidden="1" outlineLevel="1">
      <c r="A159" s="517">
        <v>38</v>
      </c>
      <c r="B159" s="515"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3"/>
      <c r="Z159" s="409"/>
      <c r="AA159" s="409"/>
      <c r="AB159" s="409"/>
      <c r="AC159" s="409"/>
      <c r="AD159" s="409"/>
      <c r="AE159" s="409"/>
      <c r="AF159" s="414"/>
      <c r="AG159" s="414"/>
      <c r="AH159" s="414"/>
      <c r="AI159" s="414"/>
      <c r="AJ159" s="414"/>
      <c r="AK159" s="414"/>
      <c r="AL159" s="414"/>
      <c r="AM159" s="296">
        <f>SUM(Y159:AL159)</f>
        <v>0</v>
      </c>
    </row>
    <row r="160" spans="1:39"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6"/>
    </row>
    <row r="161" spans="1:39" hidden="1" outlineLevel="1">
      <c r="B161" s="515"/>
      <c r="C161" s="291"/>
      <c r="D161" s="758"/>
      <c r="E161" s="758"/>
      <c r="F161" s="758"/>
      <c r="G161" s="758"/>
      <c r="H161" s="758"/>
      <c r="I161" s="758"/>
      <c r="J161" s="758"/>
      <c r="K161" s="758"/>
      <c r="L161" s="758"/>
      <c r="M161" s="758"/>
      <c r="N161" s="758"/>
      <c r="O161" s="758"/>
      <c r="P161" s="758"/>
      <c r="Q161" s="758"/>
      <c r="R161" s="758"/>
      <c r="S161" s="758"/>
      <c r="T161" s="758"/>
      <c r="U161" s="758"/>
      <c r="V161" s="758"/>
      <c r="W161" s="758"/>
      <c r="X161" s="758"/>
      <c r="Y161" s="411"/>
      <c r="Z161" s="422"/>
      <c r="AA161" s="422"/>
      <c r="AB161" s="422"/>
      <c r="AC161" s="422"/>
      <c r="AD161" s="422"/>
      <c r="AE161" s="422"/>
      <c r="AF161" s="422"/>
      <c r="AG161" s="422"/>
      <c r="AH161" s="422"/>
      <c r="AI161" s="422"/>
      <c r="AJ161" s="422"/>
      <c r="AK161" s="422"/>
      <c r="AL161" s="422"/>
      <c r="AM161" s="306"/>
    </row>
    <row r="162" spans="1:39" ht="30" hidden="1" outlineLevel="1">
      <c r="A162" s="517">
        <v>39</v>
      </c>
      <c r="B162" s="515"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3"/>
      <c r="Z162" s="409"/>
      <c r="AA162" s="409"/>
      <c r="AB162" s="409"/>
      <c r="AC162" s="409"/>
      <c r="AD162" s="409"/>
      <c r="AE162" s="409"/>
      <c r="AF162" s="414"/>
      <c r="AG162" s="414"/>
      <c r="AH162" s="414"/>
      <c r="AI162" s="414"/>
      <c r="AJ162" s="414"/>
      <c r="AK162" s="414"/>
      <c r="AL162" s="414"/>
      <c r="AM162" s="296">
        <f>SUM(Y162:AL162)</f>
        <v>0</v>
      </c>
    </row>
    <row r="163" spans="1:39"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6"/>
    </row>
    <row r="164" spans="1:39" hidden="1" outlineLevel="1">
      <c r="B164" s="515"/>
      <c r="C164" s="291"/>
      <c r="D164" s="758"/>
      <c r="E164" s="758"/>
      <c r="F164" s="758"/>
      <c r="G164" s="758"/>
      <c r="H164" s="758"/>
      <c r="I164" s="758"/>
      <c r="J164" s="758"/>
      <c r="K164" s="758"/>
      <c r="L164" s="758"/>
      <c r="M164" s="758"/>
      <c r="N164" s="758"/>
      <c r="O164" s="758"/>
      <c r="P164" s="758"/>
      <c r="Q164" s="758"/>
      <c r="R164" s="758"/>
      <c r="S164" s="758"/>
      <c r="T164" s="758"/>
      <c r="U164" s="758"/>
      <c r="V164" s="758"/>
      <c r="W164" s="758"/>
      <c r="X164" s="758"/>
      <c r="Y164" s="411"/>
      <c r="Z164" s="422"/>
      <c r="AA164" s="422"/>
      <c r="AB164" s="422"/>
      <c r="AC164" s="422"/>
      <c r="AD164" s="422"/>
      <c r="AE164" s="422"/>
      <c r="AF164" s="422"/>
      <c r="AG164" s="422"/>
      <c r="AH164" s="422"/>
      <c r="AI164" s="422"/>
      <c r="AJ164" s="422"/>
      <c r="AK164" s="422"/>
      <c r="AL164" s="422"/>
      <c r="AM164" s="306"/>
    </row>
    <row r="165" spans="1:39" ht="30" hidden="1" outlineLevel="1">
      <c r="A165" s="517">
        <v>40</v>
      </c>
      <c r="B165" s="515"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3"/>
      <c r="Z165" s="409"/>
      <c r="AA165" s="409"/>
      <c r="AB165" s="409"/>
      <c r="AC165" s="409"/>
      <c r="AD165" s="409"/>
      <c r="AE165" s="409"/>
      <c r="AF165" s="414"/>
      <c r="AG165" s="414"/>
      <c r="AH165" s="414"/>
      <c r="AI165" s="414"/>
      <c r="AJ165" s="414"/>
      <c r="AK165" s="414"/>
      <c r="AL165" s="414"/>
      <c r="AM165" s="296">
        <f>SUM(Y165:AL165)</f>
        <v>0</v>
      </c>
    </row>
    <row r="166" spans="1:39"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6"/>
    </row>
    <row r="167" spans="1:39" hidden="1" outlineLevel="1">
      <c r="B167" s="515"/>
      <c r="C167" s="291"/>
      <c r="D167" s="758"/>
      <c r="E167" s="758"/>
      <c r="F167" s="758"/>
      <c r="G167" s="758"/>
      <c r="H167" s="758"/>
      <c r="I167" s="758"/>
      <c r="J167" s="758"/>
      <c r="K167" s="758"/>
      <c r="L167" s="758"/>
      <c r="M167" s="758"/>
      <c r="N167" s="758"/>
      <c r="O167" s="758"/>
      <c r="P167" s="758"/>
      <c r="Q167" s="758"/>
      <c r="R167" s="758"/>
      <c r="S167" s="758"/>
      <c r="T167" s="758"/>
      <c r="U167" s="758"/>
      <c r="V167" s="758"/>
      <c r="W167" s="758"/>
      <c r="X167" s="758"/>
      <c r="Y167" s="411"/>
      <c r="Z167" s="422"/>
      <c r="AA167" s="422"/>
      <c r="AB167" s="422"/>
      <c r="AC167" s="422"/>
      <c r="AD167" s="422"/>
      <c r="AE167" s="422"/>
      <c r="AF167" s="422"/>
      <c r="AG167" s="422"/>
      <c r="AH167" s="422"/>
      <c r="AI167" s="422"/>
      <c r="AJ167" s="422"/>
      <c r="AK167" s="422"/>
      <c r="AL167" s="422"/>
      <c r="AM167" s="306"/>
    </row>
    <row r="168" spans="1:39" ht="60" hidden="1" outlineLevel="1">
      <c r="A168" s="517">
        <v>41</v>
      </c>
      <c r="B168" s="515"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3"/>
      <c r="Z168" s="409"/>
      <c r="AA168" s="409"/>
      <c r="AB168" s="409"/>
      <c r="AC168" s="409"/>
      <c r="AD168" s="409"/>
      <c r="AE168" s="409"/>
      <c r="AF168" s="414"/>
      <c r="AG168" s="414"/>
      <c r="AH168" s="414"/>
      <c r="AI168" s="414"/>
      <c r="AJ168" s="414"/>
      <c r="AK168" s="414"/>
      <c r="AL168" s="414"/>
      <c r="AM168" s="296">
        <f>SUM(Y168:AL168)</f>
        <v>0</v>
      </c>
    </row>
    <row r="169" spans="1:39"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6"/>
    </row>
    <row r="170" spans="1:39" hidden="1" outlineLevel="1">
      <c r="B170" s="515"/>
      <c r="C170" s="291"/>
      <c r="D170" s="758"/>
      <c r="E170" s="758"/>
      <c r="F170" s="758"/>
      <c r="G170" s="758"/>
      <c r="H170" s="758"/>
      <c r="I170" s="758"/>
      <c r="J170" s="758"/>
      <c r="K170" s="758"/>
      <c r="L170" s="758"/>
      <c r="M170" s="758"/>
      <c r="N170" s="758"/>
      <c r="O170" s="758"/>
      <c r="P170" s="758"/>
      <c r="Q170" s="758"/>
      <c r="R170" s="758"/>
      <c r="S170" s="758"/>
      <c r="T170" s="758"/>
      <c r="U170" s="758"/>
      <c r="V170" s="758"/>
      <c r="W170" s="758"/>
      <c r="X170" s="758"/>
      <c r="Y170" s="411"/>
      <c r="Z170" s="422"/>
      <c r="AA170" s="422"/>
      <c r="AB170" s="422"/>
      <c r="AC170" s="422"/>
      <c r="AD170" s="422"/>
      <c r="AE170" s="422"/>
      <c r="AF170" s="422"/>
      <c r="AG170" s="422"/>
      <c r="AH170" s="422"/>
      <c r="AI170" s="422"/>
      <c r="AJ170" s="422"/>
      <c r="AK170" s="422"/>
      <c r="AL170" s="422"/>
      <c r="AM170" s="306"/>
    </row>
    <row r="171" spans="1:39" ht="60" hidden="1" outlineLevel="1">
      <c r="A171" s="517">
        <v>42</v>
      </c>
      <c r="B171" s="515" t="s">
        <v>134</v>
      </c>
      <c r="C171" s="291" t="s">
        <v>25</v>
      </c>
      <c r="D171" s="295"/>
      <c r="E171" s="295"/>
      <c r="F171" s="295"/>
      <c r="G171" s="295"/>
      <c r="H171" s="295"/>
      <c r="I171" s="295"/>
      <c r="J171" s="295"/>
      <c r="K171" s="295"/>
      <c r="L171" s="295"/>
      <c r="M171" s="295"/>
      <c r="N171" s="758"/>
      <c r="O171" s="295"/>
      <c r="P171" s="295"/>
      <c r="Q171" s="295"/>
      <c r="R171" s="295"/>
      <c r="S171" s="295"/>
      <c r="T171" s="295"/>
      <c r="U171" s="295"/>
      <c r="V171" s="295"/>
      <c r="W171" s="295"/>
      <c r="X171" s="295"/>
      <c r="Y171" s="423"/>
      <c r="Z171" s="409"/>
      <c r="AA171" s="409"/>
      <c r="AB171" s="409"/>
      <c r="AC171" s="409"/>
      <c r="AD171" s="409"/>
      <c r="AE171" s="409"/>
      <c r="AF171" s="414"/>
      <c r="AG171" s="414"/>
      <c r="AH171" s="414"/>
      <c r="AI171" s="414"/>
      <c r="AJ171" s="414"/>
      <c r="AK171" s="414"/>
      <c r="AL171" s="414"/>
      <c r="AM171" s="296">
        <f>SUM(Y171:AL171)</f>
        <v>0</v>
      </c>
    </row>
    <row r="172" spans="1:39" hidden="1" outlineLevel="1">
      <c r="B172" s="294" t="s">
        <v>267</v>
      </c>
      <c r="C172" s="291" t="s">
        <v>163</v>
      </c>
      <c r="D172" s="295"/>
      <c r="E172" s="295"/>
      <c r="F172" s="295"/>
      <c r="G172" s="295"/>
      <c r="H172" s="295"/>
      <c r="I172" s="295"/>
      <c r="J172" s="295"/>
      <c r="K172" s="295"/>
      <c r="L172" s="295"/>
      <c r="M172" s="295"/>
      <c r="N172" s="759"/>
      <c r="O172" s="295"/>
      <c r="P172" s="295"/>
      <c r="Q172" s="295"/>
      <c r="R172" s="295"/>
      <c r="S172" s="295"/>
      <c r="T172" s="295"/>
      <c r="U172" s="295"/>
      <c r="V172" s="295"/>
      <c r="W172" s="295"/>
      <c r="X172" s="295"/>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6"/>
    </row>
    <row r="173" spans="1:39" hidden="1" outlineLevel="1">
      <c r="B173" s="515"/>
      <c r="C173" s="291"/>
      <c r="D173" s="758"/>
      <c r="E173" s="758"/>
      <c r="F173" s="758"/>
      <c r="G173" s="758"/>
      <c r="H173" s="758"/>
      <c r="I173" s="758"/>
      <c r="J173" s="758"/>
      <c r="K173" s="758"/>
      <c r="L173" s="758"/>
      <c r="M173" s="758"/>
      <c r="N173" s="758"/>
      <c r="O173" s="758"/>
      <c r="P173" s="758"/>
      <c r="Q173" s="758"/>
      <c r="R173" s="758"/>
      <c r="S173" s="758"/>
      <c r="T173" s="758"/>
      <c r="U173" s="758"/>
      <c r="V173" s="758"/>
      <c r="W173" s="758"/>
      <c r="X173" s="758"/>
      <c r="Y173" s="411"/>
      <c r="Z173" s="422"/>
      <c r="AA173" s="422"/>
      <c r="AB173" s="422"/>
      <c r="AC173" s="422"/>
      <c r="AD173" s="422"/>
      <c r="AE173" s="422"/>
      <c r="AF173" s="422"/>
      <c r="AG173" s="422"/>
      <c r="AH173" s="422"/>
      <c r="AI173" s="422"/>
      <c r="AJ173" s="422"/>
      <c r="AK173" s="422"/>
      <c r="AL173" s="422"/>
      <c r="AM173" s="306"/>
    </row>
    <row r="174" spans="1:39" ht="30" hidden="1" outlineLevel="1">
      <c r="A174" s="517">
        <v>43</v>
      </c>
      <c r="B174" s="515"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3"/>
      <c r="Z174" s="409"/>
      <c r="AA174" s="409"/>
      <c r="AB174" s="409"/>
      <c r="AC174" s="409"/>
      <c r="AD174" s="409"/>
      <c r="AE174" s="409"/>
      <c r="AF174" s="414"/>
      <c r="AG174" s="414"/>
      <c r="AH174" s="414"/>
      <c r="AI174" s="414"/>
      <c r="AJ174" s="414"/>
      <c r="AK174" s="414"/>
      <c r="AL174" s="414"/>
      <c r="AM174" s="296">
        <f>SUM(Y174:AL174)</f>
        <v>0</v>
      </c>
    </row>
    <row r="175" spans="1:39"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6"/>
    </row>
    <row r="176" spans="1:39" hidden="1" outlineLevel="1">
      <c r="B176" s="515"/>
      <c r="C176" s="291"/>
      <c r="D176" s="758"/>
      <c r="E176" s="758"/>
      <c r="F176" s="758"/>
      <c r="G176" s="758"/>
      <c r="H176" s="758"/>
      <c r="I176" s="758"/>
      <c r="J176" s="758"/>
      <c r="K176" s="758"/>
      <c r="L176" s="758"/>
      <c r="M176" s="758"/>
      <c r="N176" s="758"/>
      <c r="O176" s="758"/>
      <c r="P176" s="758"/>
      <c r="Q176" s="758"/>
      <c r="R176" s="758"/>
      <c r="S176" s="758"/>
      <c r="T176" s="758"/>
      <c r="U176" s="758"/>
      <c r="V176" s="758"/>
      <c r="W176" s="758"/>
      <c r="X176" s="758"/>
      <c r="Y176" s="411"/>
      <c r="Z176" s="422"/>
      <c r="AA176" s="422"/>
      <c r="AB176" s="422"/>
      <c r="AC176" s="422"/>
      <c r="AD176" s="422"/>
      <c r="AE176" s="422"/>
      <c r="AF176" s="422"/>
      <c r="AG176" s="422"/>
      <c r="AH176" s="422"/>
      <c r="AI176" s="422"/>
      <c r="AJ176" s="422"/>
      <c r="AK176" s="422"/>
      <c r="AL176" s="422"/>
      <c r="AM176" s="306"/>
    </row>
    <row r="177" spans="1:39" ht="60" hidden="1" outlineLevel="1">
      <c r="A177" s="517">
        <v>44</v>
      </c>
      <c r="B177" s="515"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3"/>
      <c r="Z177" s="409"/>
      <c r="AA177" s="409"/>
      <c r="AB177" s="409"/>
      <c r="AC177" s="409"/>
      <c r="AD177" s="409"/>
      <c r="AE177" s="409"/>
      <c r="AF177" s="414"/>
      <c r="AG177" s="414"/>
      <c r="AH177" s="414"/>
      <c r="AI177" s="414"/>
      <c r="AJ177" s="414"/>
      <c r="AK177" s="414"/>
      <c r="AL177" s="414"/>
      <c r="AM177" s="296">
        <f>SUM(Y177:AL177)</f>
        <v>0</v>
      </c>
    </row>
    <row r="178" spans="1:39"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6"/>
    </row>
    <row r="179" spans="1:39" hidden="1" outlineLevel="1">
      <c r="B179" s="515"/>
      <c r="C179" s="291"/>
      <c r="D179" s="758"/>
      <c r="E179" s="758"/>
      <c r="F179" s="758"/>
      <c r="G179" s="758"/>
      <c r="H179" s="758"/>
      <c r="I179" s="758"/>
      <c r="J179" s="758"/>
      <c r="K179" s="758"/>
      <c r="L179" s="758"/>
      <c r="M179" s="758"/>
      <c r="N179" s="758"/>
      <c r="O179" s="758"/>
      <c r="P179" s="758"/>
      <c r="Q179" s="758"/>
      <c r="R179" s="758"/>
      <c r="S179" s="758"/>
      <c r="T179" s="758"/>
      <c r="U179" s="758"/>
      <c r="V179" s="758"/>
      <c r="W179" s="758"/>
      <c r="X179" s="758"/>
      <c r="Y179" s="411"/>
      <c r="Z179" s="422"/>
      <c r="AA179" s="422"/>
      <c r="AB179" s="422"/>
      <c r="AC179" s="422"/>
      <c r="AD179" s="422"/>
      <c r="AE179" s="422"/>
      <c r="AF179" s="422"/>
      <c r="AG179" s="422"/>
      <c r="AH179" s="422"/>
      <c r="AI179" s="422"/>
      <c r="AJ179" s="422"/>
      <c r="AK179" s="422"/>
      <c r="AL179" s="422"/>
      <c r="AM179" s="306"/>
    </row>
    <row r="180" spans="1:39" ht="45" hidden="1" outlineLevel="1">
      <c r="A180" s="517">
        <v>45</v>
      </c>
      <c r="B180" s="515"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3"/>
      <c r="Z180" s="409"/>
      <c r="AA180" s="409"/>
      <c r="AB180" s="409"/>
      <c r="AC180" s="409"/>
      <c r="AD180" s="409"/>
      <c r="AE180" s="409"/>
      <c r="AF180" s="414"/>
      <c r="AG180" s="414"/>
      <c r="AH180" s="414"/>
      <c r="AI180" s="414"/>
      <c r="AJ180" s="414"/>
      <c r="AK180" s="414"/>
      <c r="AL180" s="414"/>
      <c r="AM180" s="296">
        <f>SUM(Y180:AL180)</f>
        <v>0</v>
      </c>
    </row>
    <row r="181" spans="1:39"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6"/>
    </row>
    <row r="182" spans="1:39" hidden="1" outlineLevel="1">
      <c r="B182" s="515"/>
      <c r="C182" s="291"/>
      <c r="D182" s="758"/>
      <c r="E182" s="758"/>
      <c r="F182" s="758"/>
      <c r="G182" s="758"/>
      <c r="H182" s="758"/>
      <c r="I182" s="758"/>
      <c r="J182" s="758"/>
      <c r="K182" s="758"/>
      <c r="L182" s="758"/>
      <c r="M182" s="758"/>
      <c r="N182" s="758"/>
      <c r="O182" s="758"/>
      <c r="P182" s="758"/>
      <c r="Q182" s="758"/>
      <c r="R182" s="758"/>
      <c r="S182" s="758"/>
      <c r="T182" s="758"/>
      <c r="U182" s="758"/>
      <c r="V182" s="758"/>
      <c r="W182" s="758"/>
      <c r="X182" s="758"/>
      <c r="Y182" s="411"/>
      <c r="Z182" s="422"/>
      <c r="AA182" s="422"/>
      <c r="AB182" s="422"/>
      <c r="AC182" s="422"/>
      <c r="AD182" s="422"/>
      <c r="AE182" s="422"/>
      <c r="AF182" s="422"/>
      <c r="AG182" s="422"/>
      <c r="AH182" s="422"/>
      <c r="AI182" s="422"/>
      <c r="AJ182" s="422"/>
      <c r="AK182" s="422"/>
      <c r="AL182" s="422"/>
      <c r="AM182" s="306"/>
    </row>
    <row r="183" spans="1:39" ht="45" hidden="1" outlineLevel="1">
      <c r="A183" s="517">
        <v>46</v>
      </c>
      <c r="B183" s="515"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3"/>
      <c r="Z183" s="409"/>
      <c r="AA183" s="409"/>
      <c r="AB183" s="409"/>
      <c r="AC183" s="409"/>
      <c r="AD183" s="409"/>
      <c r="AE183" s="409"/>
      <c r="AF183" s="414"/>
      <c r="AG183" s="414"/>
      <c r="AH183" s="414"/>
      <c r="AI183" s="414"/>
      <c r="AJ183" s="414"/>
      <c r="AK183" s="414"/>
      <c r="AL183" s="414"/>
      <c r="AM183" s="296">
        <f>SUM(Y183:AL183)</f>
        <v>0</v>
      </c>
    </row>
    <row r="184" spans="1:39"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6"/>
    </row>
    <row r="185" spans="1:39" hidden="1" outlineLevel="1">
      <c r="B185" s="515"/>
      <c r="C185" s="291"/>
      <c r="D185" s="758"/>
      <c r="E185" s="758"/>
      <c r="F185" s="758"/>
      <c r="G185" s="758"/>
      <c r="H185" s="758"/>
      <c r="I185" s="758"/>
      <c r="J185" s="758"/>
      <c r="K185" s="758"/>
      <c r="L185" s="758"/>
      <c r="M185" s="758"/>
      <c r="N185" s="758"/>
      <c r="O185" s="758"/>
      <c r="P185" s="758"/>
      <c r="Q185" s="758"/>
      <c r="R185" s="758"/>
      <c r="S185" s="758"/>
      <c r="T185" s="758"/>
      <c r="U185" s="758"/>
      <c r="V185" s="758"/>
      <c r="W185" s="758"/>
      <c r="X185" s="758"/>
      <c r="Y185" s="411"/>
      <c r="Z185" s="422"/>
      <c r="AA185" s="422"/>
      <c r="AB185" s="422"/>
      <c r="AC185" s="422"/>
      <c r="AD185" s="422"/>
      <c r="AE185" s="422"/>
      <c r="AF185" s="422"/>
      <c r="AG185" s="422"/>
      <c r="AH185" s="422"/>
      <c r="AI185" s="422"/>
      <c r="AJ185" s="422"/>
      <c r="AK185" s="422"/>
      <c r="AL185" s="422"/>
      <c r="AM185" s="306"/>
    </row>
    <row r="186" spans="1:39" ht="45" hidden="1" outlineLevel="1">
      <c r="A186" s="517">
        <v>47</v>
      </c>
      <c r="B186" s="515"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3"/>
      <c r="Z186" s="409"/>
      <c r="AA186" s="409"/>
      <c r="AB186" s="409"/>
      <c r="AC186" s="409"/>
      <c r="AD186" s="409"/>
      <c r="AE186" s="409"/>
      <c r="AF186" s="414"/>
      <c r="AG186" s="414"/>
      <c r="AH186" s="414"/>
      <c r="AI186" s="414"/>
      <c r="AJ186" s="414"/>
      <c r="AK186" s="414"/>
      <c r="AL186" s="414"/>
      <c r="AM186" s="296">
        <f>SUM(Y186:AL186)</f>
        <v>0</v>
      </c>
    </row>
    <row r="187" spans="1:39"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6"/>
    </row>
    <row r="188" spans="1:39" hidden="1" outlineLevel="1">
      <c r="B188" s="515"/>
      <c r="C188" s="291"/>
      <c r="D188" s="758"/>
      <c r="E188" s="758"/>
      <c r="F188" s="758"/>
      <c r="G188" s="758"/>
      <c r="H188" s="758"/>
      <c r="I188" s="758"/>
      <c r="J188" s="758"/>
      <c r="K188" s="758"/>
      <c r="L188" s="758"/>
      <c r="M188" s="758"/>
      <c r="N188" s="758"/>
      <c r="O188" s="758"/>
      <c r="P188" s="758"/>
      <c r="Q188" s="758"/>
      <c r="R188" s="758"/>
      <c r="S188" s="758"/>
      <c r="T188" s="758"/>
      <c r="U188" s="758"/>
      <c r="V188" s="758"/>
      <c r="W188" s="758"/>
      <c r="X188" s="758"/>
      <c r="Y188" s="411"/>
      <c r="Z188" s="422"/>
      <c r="AA188" s="422"/>
      <c r="AB188" s="422"/>
      <c r="AC188" s="422"/>
      <c r="AD188" s="422"/>
      <c r="AE188" s="422"/>
      <c r="AF188" s="422"/>
      <c r="AG188" s="422"/>
      <c r="AH188" s="422"/>
      <c r="AI188" s="422"/>
      <c r="AJ188" s="422"/>
      <c r="AK188" s="422"/>
      <c r="AL188" s="422"/>
      <c r="AM188" s="306"/>
    </row>
    <row r="189" spans="1:39" ht="45" hidden="1" outlineLevel="1">
      <c r="A189" s="517">
        <v>48</v>
      </c>
      <c r="B189" s="515"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3"/>
      <c r="Z189" s="409"/>
      <c r="AA189" s="409"/>
      <c r="AB189" s="409"/>
      <c r="AC189" s="409"/>
      <c r="AD189" s="409"/>
      <c r="AE189" s="409"/>
      <c r="AF189" s="414"/>
      <c r="AG189" s="414"/>
      <c r="AH189" s="414"/>
      <c r="AI189" s="414"/>
      <c r="AJ189" s="414"/>
      <c r="AK189" s="414"/>
      <c r="AL189" s="414"/>
      <c r="AM189" s="296">
        <f>SUM(Y189:AL189)</f>
        <v>0</v>
      </c>
    </row>
    <row r="190" spans="1:39"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6"/>
    </row>
    <row r="191" spans="1:39" hidden="1" outlineLevel="1">
      <c r="B191" s="515"/>
      <c r="C191" s="291"/>
      <c r="D191" s="758"/>
      <c r="E191" s="758"/>
      <c r="F191" s="758"/>
      <c r="G191" s="758"/>
      <c r="H191" s="758"/>
      <c r="I191" s="758"/>
      <c r="J191" s="758"/>
      <c r="K191" s="758"/>
      <c r="L191" s="758"/>
      <c r="M191" s="758"/>
      <c r="N191" s="758"/>
      <c r="O191" s="758"/>
      <c r="P191" s="758"/>
      <c r="Q191" s="758"/>
      <c r="R191" s="758"/>
      <c r="S191" s="758"/>
      <c r="T191" s="758"/>
      <c r="U191" s="758"/>
      <c r="V191" s="758"/>
      <c r="W191" s="758"/>
      <c r="X191" s="758"/>
      <c r="Y191" s="411"/>
      <c r="Z191" s="422"/>
      <c r="AA191" s="422"/>
      <c r="AB191" s="422"/>
      <c r="AC191" s="422"/>
      <c r="AD191" s="422"/>
      <c r="AE191" s="422"/>
      <c r="AF191" s="422"/>
      <c r="AG191" s="422"/>
      <c r="AH191" s="422"/>
      <c r="AI191" s="422"/>
      <c r="AJ191" s="422"/>
      <c r="AK191" s="422"/>
      <c r="AL191" s="422"/>
      <c r="AM191" s="306"/>
    </row>
    <row r="192" spans="1:39" ht="45" hidden="1" outlineLevel="1">
      <c r="A192" s="517">
        <v>49</v>
      </c>
      <c r="B192" s="515"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3"/>
      <c r="Z192" s="409"/>
      <c r="AA192" s="409"/>
      <c r="AB192" s="409"/>
      <c r="AC192" s="409"/>
      <c r="AD192" s="409"/>
      <c r="AE192" s="409"/>
      <c r="AF192" s="414"/>
      <c r="AG192" s="414"/>
      <c r="AH192" s="414"/>
      <c r="AI192" s="414"/>
      <c r="AJ192" s="414"/>
      <c r="AK192" s="414"/>
      <c r="AL192" s="414"/>
      <c r="AM192" s="296">
        <f>SUM(Y192:AL192)</f>
        <v>0</v>
      </c>
    </row>
    <row r="193" spans="2:39"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6" t="s">
        <v>271</v>
      </c>
      <c r="C195" s="328"/>
      <c r="D195" s="328">
        <f>SUM(D38:D193)</f>
        <v>26122981</v>
      </c>
      <c r="E195" s="328"/>
      <c r="F195" s="328"/>
      <c r="G195" s="328"/>
      <c r="H195" s="328"/>
      <c r="I195" s="328"/>
      <c r="J195" s="328"/>
      <c r="K195" s="328"/>
      <c r="L195" s="328"/>
      <c r="M195" s="328"/>
      <c r="N195" s="328"/>
      <c r="O195" s="328">
        <f>SUM(O38:O193)</f>
        <v>4686</v>
      </c>
      <c r="P195" s="328"/>
      <c r="Q195" s="328"/>
      <c r="R195" s="328"/>
      <c r="S195" s="328"/>
      <c r="T195" s="328"/>
      <c r="U195" s="328"/>
      <c r="V195" s="328"/>
      <c r="W195" s="328"/>
      <c r="X195" s="328"/>
      <c r="Y195" s="328">
        <f>IF(Y36="kWh",SUMPRODUCT(D38:D193,Y38:Y193))</f>
        <v>4186932.06</v>
      </c>
      <c r="Z195" s="328">
        <f>IF(Z36="kWh",SUMPRODUCT(D38:D193,Z38:Z193))</f>
        <v>3731341.7800000003</v>
      </c>
      <c r="AA195" s="328">
        <f>IF(AA36="kw",SUMPRODUCT(N38:N193,O38:O193,AA38:AA193),SUMPRODUCT(D38:D193,AA38:AA193))</f>
        <v>37339.68</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3348102</v>
      </c>
      <c r="Z196" s="391">
        <f>HLOOKUP(Z35,'2. LRAMVA Threshold'!$B$42:$Q$53,7,FALSE)</f>
        <v>3280740</v>
      </c>
      <c r="AA196" s="391">
        <f>HLOOKUP(AA35,'2. LRAMVA Threshold'!$B$42:$Q$53,7,FALSE)</f>
        <v>31326</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16"/>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1"/>
      <c r="P198" s="339"/>
      <c r="Q198" s="339"/>
      <c r="R198" s="339"/>
      <c r="S198" s="338"/>
      <c r="T198" s="338"/>
      <c r="U198" s="338"/>
      <c r="V198" s="338"/>
      <c r="W198" s="339"/>
      <c r="X198" s="339"/>
      <c r="Y198" s="340">
        <f>HLOOKUP(Y$35,'3.  Distribution Rates'!$C$122:$P$133,7,FALSE)</f>
        <v>1.6400000000000001E-2</v>
      </c>
      <c r="Z198" s="340">
        <f>HLOOKUP(Z$35,'3.  Distribution Rates'!$C$122:$P$133,7,FALSE)</f>
        <v>1.26E-2</v>
      </c>
      <c r="AA198" s="340">
        <f>HLOOKUP(AA$35,'3.  Distribution Rates'!$C$122:$P$133,7,FALSE)</f>
        <v>4.4840999999999998</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790"/>
      <c r="Z199" s="790"/>
      <c r="AA199" s="790"/>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4">
        <f>SUM(Y199:AL199)</f>
        <v>0</v>
      </c>
    </row>
    <row r="200" spans="2:39">
      <c r="B200" s="323" t="s">
        <v>150</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790"/>
      <c r="Z200" s="790"/>
      <c r="AA200" s="790"/>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4">
        <f>SUM(Y200:AL200)</f>
        <v>0</v>
      </c>
    </row>
    <row r="201" spans="2:39">
      <c r="B201" s="323" t="s">
        <v>151</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LRAM'!Y396*Y198</f>
        <v>26906.303142167293</v>
      </c>
      <c r="Z201" s="377">
        <f>'4.  2011-2014 LRAM'!Z396*Z198</f>
        <v>20241.86482380829</v>
      </c>
      <c r="AA201" s="377">
        <f>'4.  2011-2014 LRAM'!AA396*AA198</f>
        <v>56436.102955176029</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4">
        <f>SUM(Y201:AL201)</f>
        <v>103584.27092115162</v>
      </c>
    </row>
    <row r="202" spans="2:39">
      <c r="B202" s="323" t="s">
        <v>152</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LRAM'!Y526*Y198</f>
        <v>62920.862871515179</v>
      </c>
      <c r="Z202" s="377">
        <f>'4.  2011-2014 LRAM'!Z526*Z198</f>
        <v>21744.490643505</v>
      </c>
      <c r="AA202" s="377">
        <f>'4.  2011-2014 LRAM'!AA526*AA198</f>
        <v>44555.512173915471</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4">
        <f>SUM(Y202:AL202)</f>
        <v>129220.86568893565</v>
      </c>
    </row>
    <row r="203" spans="2:39">
      <c r="B203" s="323" t="s">
        <v>153</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Y195*Y198</f>
        <v>68665.685784000001</v>
      </c>
      <c r="Z203" s="377">
        <f>Z195*Z198</f>
        <v>47014.906428000002</v>
      </c>
      <c r="AA203" s="377">
        <f>AA195*AA198</f>
        <v>167434.859088</v>
      </c>
      <c r="AB203" s="377">
        <f t="shared" ref="AB203:AL203" si="553">AB195*AB198</f>
        <v>0</v>
      </c>
      <c r="AC203" s="377">
        <f t="shared" si="553"/>
        <v>0</v>
      </c>
      <c r="AD203" s="377">
        <f t="shared" si="553"/>
        <v>0</v>
      </c>
      <c r="AE203" s="377">
        <f t="shared" si="553"/>
        <v>0</v>
      </c>
      <c r="AF203" s="377">
        <f t="shared" si="553"/>
        <v>0</v>
      </c>
      <c r="AG203" s="377">
        <f t="shared" si="553"/>
        <v>0</v>
      </c>
      <c r="AH203" s="377">
        <f t="shared" si="553"/>
        <v>0</v>
      </c>
      <c r="AI203" s="377">
        <f t="shared" si="553"/>
        <v>0</v>
      </c>
      <c r="AJ203" s="377">
        <f t="shared" si="553"/>
        <v>0</v>
      </c>
      <c r="AK203" s="377">
        <f t="shared" si="553"/>
        <v>0</v>
      </c>
      <c r="AL203" s="377">
        <f t="shared" si="553"/>
        <v>0</v>
      </c>
      <c r="AM203" s="624">
        <f>SUM(Y203:AL203)</f>
        <v>283115.45130000002</v>
      </c>
    </row>
    <row r="204" spans="2:39" ht="15.75">
      <c r="B204" s="348" t="s">
        <v>268</v>
      </c>
      <c r="C204" s="344"/>
      <c r="D204" s="335"/>
      <c r="E204" s="333"/>
      <c r="F204" s="333"/>
      <c r="G204" s="333"/>
      <c r="H204" s="333"/>
      <c r="I204" s="333"/>
      <c r="J204" s="333"/>
      <c r="K204" s="333"/>
      <c r="L204" s="333"/>
      <c r="M204" s="333"/>
      <c r="N204" s="333"/>
      <c r="O204" s="300"/>
      <c r="P204" s="333"/>
      <c r="Q204" s="333"/>
      <c r="R204" s="333"/>
      <c r="S204" s="335"/>
      <c r="T204" s="335"/>
      <c r="U204" s="335"/>
      <c r="V204" s="335"/>
      <c r="W204" s="333"/>
      <c r="X204" s="333"/>
      <c r="Y204" s="345">
        <f>SUM(Y199:Y203)</f>
        <v>158492.85179768247</v>
      </c>
      <c r="Z204" s="345">
        <f>SUM(Z199:Z203)</f>
        <v>89001.261895313291</v>
      </c>
      <c r="AA204" s="345">
        <f t="shared" ref="AA204:AE204" si="554">SUM(AA199:AA203)</f>
        <v>268426.47421709151</v>
      </c>
      <c r="AB204" s="345">
        <f t="shared" si="554"/>
        <v>0</v>
      </c>
      <c r="AC204" s="345">
        <f t="shared" si="554"/>
        <v>0</v>
      </c>
      <c r="AD204" s="345">
        <f t="shared" si="554"/>
        <v>0</v>
      </c>
      <c r="AE204" s="345">
        <f t="shared" si="554"/>
        <v>0</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515920.58791008731</v>
      </c>
    </row>
    <row r="205" spans="2:39" ht="15.75">
      <c r="B205" s="348" t="s">
        <v>269</v>
      </c>
      <c r="C205" s="344"/>
      <c r="D205" s="349"/>
      <c r="E205" s="333"/>
      <c r="F205" s="333"/>
      <c r="G205" s="333"/>
      <c r="H205" s="333"/>
      <c r="I205" s="333"/>
      <c r="J205" s="333"/>
      <c r="K205" s="333"/>
      <c r="L205" s="333"/>
      <c r="M205" s="333"/>
      <c r="N205" s="333"/>
      <c r="O205" s="300"/>
      <c r="P205" s="333"/>
      <c r="Q205" s="333"/>
      <c r="R205" s="333"/>
      <c r="S205" s="335"/>
      <c r="T205" s="335"/>
      <c r="U205" s="335"/>
      <c r="V205" s="335"/>
      <c r="W205" s="333"/>
      <c r="X205" s="333"/>
      <c r="Y205" s="346">
        <f>Y196*Y198</f>
        <v>54908.872800000005</v>
      </c>
      <c r="Z205" s="346">
        <f t="shared" ref="Z205:AE205" si="556">Z196*Z198</f>
        <v>41337.324000000001</v>
      </c>
      <c r="AA205" s="346">
        <f t="shared" si="556"/>
        <v>140468.9166</v>
      </c>
      <c r="AB205" s="346">
        <f t="shared" si="556"/>
        <v>0</v>
      </c>
      <c r="AC205" s="346">
        <f t="shared" si="556"/>
        <v>0</v>
      </c>
      <c r="AD205" s="346">
        <f t="shared" si="556"/>
        <v>0</v>
      </c>
      <c r="AE205" s="346">
        <f t="shared" si="556"/>
        <v>0</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236715.1134</v>
      </c>
    </row>
    <row r="206" spans="2:39" ht="15.75">
      <c r="B206" s="348" t="s">
        <v>270</v>
      </c>
      <c r="C206" s="344"/>
      <c r="D206" s="349"/>
      <c r="E206" s="333"/>
      <c r="F206" s="333"/>
      <c r="G206" s="333"/>
      <c r="H206" s="333"/>
      <c r="I206" s="333"/>
      <c r="J206" s="333"/>
      <c r="K206" s="333"/>
      <c r="L206" s="333"/>
      <c r="M206" s="333"/>
      <c r="N206" s="333"/>
      <c r="O206" s="300"/>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279205.47451008728</v>
      </c>
    </row>
    <row r="207" spans="2:39">
      <c r="B207" s="323"/>
      <c r="C207" s="349"/>
      <c r="D207" s="349"/>
      <c r="E207" s="333"/>
      <c r="F207" s="333"/>
      <c r="G207" s="333"/>
      <c r="H207" s="333"/>
      <c r="I207" s="333"/>
      <c r="J207" s="333"/>
      <c r="K207" s="333"/>
      <c r="L207" s="333"/>
      <c r="M207" s="333"/>
      <c r="N207" s="333"/>
      <c r="O207" s="300"/>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4" t="s">
        <v>144</v>
      </c>
      <c r="C208" s="304"/>
      <c r="D208" s="279"/>
      <c r="E208" s="279"/>
      <c r="F208" s="279"/>
      <c r="G208" s="279"/>
      <c r="H208" s="279"/>
      <c r="I208" s="279"/>
      <c r="J208" s="279"/>
      <c r="K208" s="279"/>
      <c r="L208" s="279"/>
      <c r="M208" s="279"/>
      <c r="N208" s="279"/>
      <c r="O208" s="356"/>
      <c r="P208" s="279"/>
      <c r="Q208" s="279"/>
      <c r="R208" s="279"/>
      <c r="S208" s="304"/>
      <c r="T208" s="309"/>
      <c r="U208" s="309"/>
      <c r="V208" s="279"/>
      <c r="W208" s="279"/>
      <c r="X208" s="309"/>
      <c r="Y208" s="291">
        <f>SUMPRODUCT(E38:E193,Y38:Y193)</f>
        <v>4135593.06</v>
      </c>
      <c r="Z208" s="291">
        <f>SUMPRODUCT(E38:E193,Z38:Z193)</f>
        <v>3731342.7800000003</v>
      </c>
      <c r="AA208" s="291">
        <f>IF(AA36="kw",SUMPRODUCT(N38:N193,P38:P193,AA38:AA193),SUMPRODUCT(E38:E193,AA38:AA193))</f>
        <v>37339.68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7"/>
    </row>
    <row r="209" spans="1:39">
      <c r="B209" s="294" t="s">
        <v>145</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SUMPRODUCT(F38:F193,Y38:Y193)</f>
        <v>4132691.06</v>
      </c>
      <c r="Z209" s="291">
        <f>SUMPRODUCT(F38:F193,Z38:Z193)</f>
        <v>3731341.78</v>
      </c>
      <c r="AA209" s="291">
        <f>IF(AA36="kw",SUMPRODUCT(N38:N193,Q38:Q193,AA38:AA193),SUMPRODUCT(F38:F193,AA38:AA193))</f>
        <v>37183.68</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6"/>
    </row>
    <row r="210" spans="1:39">
      <c r="B210" s="294" t="s">
        <v>146</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SUMPRODUCT(G38:G193,Y38:Y193)</f>
        <v>4129686.06</v>
      </c>
      <c r="Z210" s="291">
        <f>SUMPRODUCT(G38:G193,Z38:Z193)</f>
        <v>3743785.62</v>
      </c>
      <c r="AA210" s="291">
        <f>IF(AA36="kw",SUMPRODUCT(N38:N193,R38:R193,AA38:AA193),SUMPRODUCT(G38:G193,AA38:AA193))</f>
        <v>37204.799999999996</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6"/>
    </row>
    <row r="211" spans="1:39">
      <c r="B211" s="294" t="s">
        <v>147</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SUMPRODUCT(H38:H193,Y38:Y193)</f>
        <v>4117660.06</v>
      </c>
      <c r="Z211" s="291">
        <f>SUMPRODUCT(H38:H193,Z38:Z193)</f>
        <v>3743785.62</v>
      </c>
      <c r="AA211" s="291">
        <f>IF(AA36="kw",SUMPRODUCT(N38:N193,S38:S193,AA38:AA193),SUMPRODUCT(H38:H193,AA38:AA193))</f>
        <v>37204.799999999996</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6"/>
    </row>
    <row r="212" spans="1:39">
      <c r="B212" s="434"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4106672.06</v>
      </c>
      <c r="Z212" s="325">
        <f>SUMPRODUCT(I38:I193,Z38:Z193)</f>
        <v>3743687.34</v>
      </c>
      <c r="AA212" s="325">
        <f>IF(AA36="kw",SUMPRODUCT(N38:N193,T38:T193,AA38:AA193),SUMPRODUCT(I38:I193,AA38:AA193))</f>
        <v>37204.799999999996</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5"/>
    </row>
    <row r="215" spans="1:39" ht="15.75">
      <c r="B215" s="435"/>
    </row>
    <row r="216" spans="1:39" ht="15.75">
      <c r="B216" s="280" t="s">
        <v>273</v>
      </c>
      <c r="C216" s="281"/>
      <c r="D216" s="585" t="s">
        <v>526</v>
      </c>
      <c r="E216" s="253"/>
      <c r="F216" s="585"/>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199" t="s">
        <v>211</v>
      </c>
      <c r="C217" s="1201" t="s">
        <v>33</v>
      </c>
      <c r="D217" s="284" t="s">
        <v>422</v>
      </c>
      <c r="E217" s="1203" t="s">
        <v>209</v>
      </c>
      <c r="F217" s="1204"/>
      <c r="G217" s="1204"/>
      <c r="H217" s="1204"/>
      <c r="I217" s="1204"/>
      <c r="J217" s="1204"/>
      <c r="K217" s="1204"/>
      <c r="L217" s="1204"/>
      <c r="M217" s="1205"/>
      <c r="N217" s="1206" t="s">
        <v>213</v>
      </c>
      <c r="O217" s="284" t="s">
        <v>423</v>
      </c>
      <c r="P217" s="1203" t="s">
        <v>212</v>
      </c>
      <c r="Q217" s="1204"/>
      <c r="R217" s="1204"/>
      <c r="S217" s="1204"/>
      <c r="T217" s="1204"/>
      <c r="U217" s="1204"/>
      <c r="V217" s="1204"/>
      <c r="W217" s="1204"/>
      <c r="X217" s="1205"/>
      <c r="Y217" s="1196" t="s">
        <v>243</v>
      </c>
      <c r="Z217" s="1197"/>
      <c r="AA217" s="1197"/>
      <c r="AB217" s="1197"/>
      <c r="AC217" s="1197"/>
      <c r="AD217" s="1197"/>
      <c r="AE217" s="1197"/>
      <c r="AF217" s="1197"/>
      <c r="AG217" s="1197"/>
      <c r="AH217" s="1197"/>
      <c r="AI217" s="1197"/>
      <c r="AJ217" s="1197"/>
      <c r="AK217" s="1197"/>
      <c r="AL217" s="1197"/>
      <c r="AM217" s="1198"/>
    </row>
    <row r="218" spans="1:39" ht="60.75" customHeight="1">
      <c r="B218" s="1200"/>
      <c r="C218" s="1202"/>
      <c r="D218" s="285">
        <v>2016</v>
      </c>
      <c r="E218" s="285">
        <v>2017</v>
      </c>
      <c r="F218" s="285">
        <v>2018</v>
      </c>
      <c r="G218" s="285">
        <v>2019</v>
      </c>
      <c r="H218" s="285">
        <v>2020</v>
      </c>
      <c r="I218" s="285">
        <v>2021</v>
      </c>
      <c r="J218" s="285">
        <v>2022</v>
      </c>
      <c r="K218" s="285">
        <v>2023</v>
      </c>
      <c r="L218" s="285">
        <v>2024</v>
      </c>
      <c r="M218" s="285">
        <v>2025</v>
      </c>
      <c r="N218" s="120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 50 kW</v>
      </c>
      <c r="AB218" s="285" t="str">
        <f>'1.  LRAMVA Summary'!G52</f>
        <v>Streetlighting kW</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3"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17">
        <v>1</v>
      </c>
      <c r="B221" s="515"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09"/>
      <c r="Z221" s="409"/>
      <c r="AA221" s="409"/>
      <c r="AB221" s="409"/>
      <c r="AC221" s="409"/>
      <c r="AD221" s="409"/>
      <c r="AE221" s="409"/>
      <c r="AF221" s="409"/>
      <c r="AG221" s="409"/>
      <c r="AH221" s="409"/>
      <c r="AI221" s="409"/>
      <c r="AJ221" s="409"/>
      <c r="AK221" s="409"/>
      <c r="AL221" s="409"/>
      <c r="AM221" s="296">
        <f>SUM(Y221:AL221)</f>
        <v>0</v>
      </c>
    </row>
    <row r="222" spans="1:39" hidden="1" outlineLevel="1">
      <c r="B222" s="294" t="s">
        <v>289</v>
      </c>
      <c r="C222" s="291" t="s">
        <v>163</v>
      </c>
      <c r="D222" s="295"/>
      <c r="E222" s="295"/>
      <c r="F222" s="295"/>
      <c r="G222" s="295"/>
      <c r="H222" s="295"/>
      <c r="I222" s="295"/>
      <c r="J222" s="295"/>
      <c r="K222" s="295"/>
      <c r="L222" s="295"/>
      <c r="M222" s="295"/>
      <c r="N222" s="464"/>
      <c r="O222" s="295"/>
      <c r="P222" s="295"/>
      <c r="Q222" s="295"/>
      <c r="R222" s="295"/>
      <c r="S222" s="295"/>
      <c r="T222" s="295"/>
      <c r="U222" s="295"/>
      <c r="V222" s="295"/>
      <c r="W222" s="295"/>
      <c r="X222" s="295"/>
      <c r="Y222" s="410">
        <f>Y221</f>
        <v>0</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1"/>
      <c r="Z223" s="412"/>
      <c r="AA223" s="412"/>
      <c r="AB223" s="412"/>
      <c r="AC223" s="412"/>
      <c r="AD223" s="412"/>
      <c r="AE223" s="412"/>
      <c r="AF223" s="412"/>
      <c r="AG223" s="412"/>
      <c r="AH223" s="412"/>
      <c r="AI223" s="412"/>
      <c r="AJ223" s="412"/>
      <c r="AK223" s="412"/>
      <c r="AL223" s="412"/>
      <c r="AM223" s="302"/>
    </row>
    <row r="224" spans="1:39" ht="30" hidden="1" outlineLevel="1">
      <c r="A224" s="517">
        <v>2</v>
      </c>
      <c r="B224" s="515"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09"/>
      <c r="Z224" s="409"/>
      <c r="AA224" s="409"/>
      <c r="AB224" s="409"/>
      <c r="AC224" s="409"/>
      <c r="AD224" s="409"/>
      <c r="AE224" s="409"/>
      <c r="AF224" s="409"/>
      <c r="AG224" s="409"/>
      <c r="AH224" s="409"/>
      <c r="AI224" s="409"/>
      <c r="AJ224" s="409"/>
      <c r="AK224" s="409"/>
      <c r="AL224" s="409"/>
      <c r="AM224" s="296">
        <f>SUM(Y224:AL224)</f>
        <v>0</v>
      </c>
    </row>
    <row r="225" spans="1:39" hidden="1" outlineLevel="1">
      <c r="B225" s="294" t="s">
        <v>289</v>
      </c>
      <c r="C225" s="291" t="s">
        <v>163</v>
      </c>
      <c r="D225" s="295"/>
      <c r="E225" s="295"/>
      <c r="F225" s="295"/>
      <c r="G225" s="295"/>
      <c r="H225" s="295"/>
      <c r="I225" s="295"/>
      <c r="J225" s="295"/>
      <c r="K225" s="295"/>
      <c r="L225" s="295"/>
      <c r="M225" s="295"/>
      <c r="N225" s="464"/>
      <c r="O225" s="295"/>
      <c r="P225" s="295"/>
      <c r="Q225" s="295"/>
      <c r="R225" s="295"/>
      <c r="S225" s="295"/>
      <c r="T225" s="295"/>
      <c r="U225" s="295"/>
      <c r="V225" s="295"/>
      <c r="W225" s="295"/>
      <c r="X225" s="295"/>
      <c r="Y225" s="410">
        <f>Y224</f>
        <v>0</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1"/>
      <c r="Z226" s="412"/>
      <c r="AA226" s="412"/>
      <c r="AB226" s="412"/>
      <c r="AC226" s="412"/>
      <c r="AD226" s="412"/>
      <c r="AE226" s="412"/>
      <c r="AF226" s="412"/>
      <c r="AG226" s="412"/>
      <c r="AH226" s="412"/>
      <c r="AI226" s="412"/>
      <c r="AJ226" s="412"/>
      <c r="AK226" s="412"/>
      <c r="AL226" s="412"/>
      <c r="AM226" s="302"/>
    </row>
    <row r="227" spans="1:39" ht="30" hidden="1" outlineLevel="1">
      <c r="A227" s="517">
        <v>3</v>
      </c>
      <c r="B227" s="515"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09"/>
      <c r="Z227" s="409"/>
      <c r="AA227" s="409"/>
      <c r="AB227" s="409"/>
      <c r="AC227" s="409"/>
      <c r="AD227" s="409"/>
      <c r="AE227" s="409"/>
      <c r="AF227" s="409"/>
      <c r="AG227" s="409"/>
      <c r="AH227" s="409"/>
      <c r="AI227" s="409"/>
      <c r="AJ227" s="409"/>
      <c r="AK227" s="409"/>
      <c r="AL227" s="409"/>
      <c r="AM227" s="296">
        <f>SUM(Y227:AL227)</f>
        <v>0</v>
      </c>
    </row>
    <row r="228" spans="1:39" hidden="1" outlineLevel="1">
      <c r="B228" s="294" t="s">
        <v>289</v>
      </c>
      <c r="C228" s="291" t="s">
        <v>163</v>
      </c>
      <c r="D228" s="295"/>
      <c r="E228" s="295"/>
      <c r="F228" s="295"/>
      <c r="G228" s="295"/>
      <c r="H228" s="295"/>
      <c r="I228" s="295"/>
      <c r="J228" s="295"/>
      <c r="K228" s="295"/>
      <c r="L228" s="295"/>
      <c r="M228" s="295"/>
      <c r="N228" s="464"/>
      <c r="O228" s="295"/>
      <c r="P228" s="295"/>
      <c r="Q228" s="295"/>
      <c r="R228" s="295"/>
      <c r="S228" s="295"/>
      <c r="T228" s="295"/>
      <c r="U228" s="295"/>
      <c r="V228" s="295"/>
      <c r="W228" s="295"/>
      <c r="X228" s="295"/>
      <c r="Y228" s="410">
        <f>Y227</f>
        <v>0</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1"/>
      <c r="Z229" s="411"/>
      <c r="AA229" s="411"/>
      <c r="AB229" s="411"/>
      <c r="AC229" s="411"/>
      <c r="AD229" s="411"/>
      <c r="AE229" s="411"/>
      <c r="AF229" s="411"/>
      <c r="AG229" s="411"/>
      <c r="AH229" s="411"/>
      <c r="AI229" s="411"/>
      <c r="AJ229" s="411"/>
      <c r="AK229" s="411"/>
      <c r="AL229" s="411"/>
      <c r="AM229" s="306"/>
    </row>
    <row r="230" spans="1:39" hidden="1" outlineLevel="1">
      <c r="A230" s="517">
        <v>4</v>
      </c>
      <c r="B230" s="515" t="s">
        <v>672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09"/>
      <c r="Z230" s="409"/>
      <c r="AA230" s="409"/>
      <c r="AB230" s="409"/>
      <c r="AC230" s="409"/>
      <c r="AD230" s="409"/>
      <c r="AE230" s="409"/>
      <c r="AF230" s="409"/>
      <c r="AG230" s="409"/>
      <c r="AH230" s="409"/>
      <c r="AI230" s="409"/>
      <c r="AJ230" s="409"/>
      <c r="AK230" s="409"/>
      <c r="AL230" s="409"/>
      <c r="AM230" s="296">
        <f>SUM(Y230:AL230)</f>
        <v>0</v>
      </c>
    </row>
    <row r="231" spans="1:39" hidden="1" outlineLevel="1">
      <c r="B231" s="294" t="s">
        <v>289</v>
      </c>
      <c r="C231" s="291" t="s">
        <v>163</v>
      </c>
      <c r="D231" s="295"/>
      <c r="E231" s="295"/>
      <c r="F231" s="295"/>
      <c r="G231" s="295"/>
      <c r="H231" s="295"/>
      <c r="I231" s="295"/>
      <c r="J231" s="295"/>
      <c r="K231" s="295"/>
      <c r="L231" s="295"/>
      <c r="M231" s="295"/>
      <c r="N231" s="464"/>
      <c r="O231" s="295"/>
      <c r="P231" s="295"/>
      <c r="Q231" s="295"/>
      <c r="R231" s="295"/>
      <c r="S231" s="295"/>
      <c r="T231" s="295"/>
      <c r="U231" s="295"/>
      <c r="V231" s="295"/>
      <c r="W231" s="295"/>
      <c r="X231" s="295"/>
      <c r="Y231" s="410">
        <f>Y230</f>
        <v>0</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1"/>
      <c r="Z232" s="411"/>
      <c r="AA232" s="411"/>
      <c r="AB232" s="411"/>
      <c r="AC232" s="411"/>
      <c r="AD232" s="411"/>
      <c r="AE232" s="411"/>
      <c r="AF232" s="411"/>
      <c r="AG232" s="411"/>
      <c r="AH232" s="411"/>
      <c r="AI232" s="411"/>
      <c r="AJ232" s="411"/>
      <c r="AK232" s="411"/>
      <c r="AL232" s="411"/>
      <c r="AM232" s="306"/>
    </row>
    <row r="233" spans="1:39" ht="45" hidden="1" outlineLevel="1">
      <c r="A233" s="517">
        <v>5</v>
      </c>
      <c r="B233" s="515"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09"/>
      <c r="Z233" s="409"/>
      <c r="AA233" s="409"/>
      <c r="AB233" s="409"/>
      <c r="AC233" s="409"/>
      <c r="AD233" s="409"/>
      <c r="AE233" s="409"/>
      <c r="AF233" s="409"/>
      <c r="AG233" s="409"/>
      <c r="AH233" s="409"/>
      <c r="AI233" s="409"/>
      <c r="AJ233" s="409"/>
      <c r="AK233" s="409"/>
      <c r="AL233" s="409"/>
      <c r="AM233" s="296">
        <f>SUM(Y233:AL233)</f>
        <v>0</v>
      </c>
    </row>
    <row r="234" spans="1:39" hidden="1" outlineLevel="1">
      <c r="B234" s="294" t="s">
        <v>289</v>
      </c>
      <c r="C234" s="291" t="s">
        <v>163</v>
      </c>
      <c r="D234" s="295"/>
      <c r="E234" s="295"/>
      <c r="F234" s="295"/>
      <c r="G234" s="295"/>
      <c r="H234" s="295"/>
      <c r="I234" s="295"/>
      <c r="J234" s="295"/>
      <c r="K234" s="295"/>
      <c r="L234" s="295"/>
      <c r="M234" s="295"/>
      <c r="N234" s="464"/>
      <c r="O234" s="295"/>
      <c r="P234" s="295"/>
      <c r="Q234" s="295"/>
      <c r="R234" s="295"/>
      <c r="S234" s="295"/>
      <c r="T234" s="295"/>
      <c r="U234" s="295"/>
      <c r="V234" s="295"/>
      <c r="W234" s="295"/>
      <c r="X234" s="295"/>
      <c r="Y234" s="410">
        <f>Y233</f>
        <v>0</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19"/>
      <c r="Z235" s="420"/>
      <c r="AA235" s="420"/>
      <c r="AB235" s="420"/>
      <c r="AC235" s="420"/>
      <c r="AD235" s="420"/>
      <c r="AE235" s="420"/>
      <c r="AF235" s="420"/>
      <c r="AG235" s="420"/>
      <c r="AH235" s="420"/>
      <c r="AI235" s="420"/>
      <c r="AJ235" s="420"/>
      <c r="AK235" s="420"/>
      <c r="AL235" s="420"/>
      <c r="AM235" s="297"/>
    </row>
    <row r="236" spans="1:39" ht="31.5" hidden="1" outlineLevel="1">
      <c r="B236" s="318"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3"/>
      <c r="Z236" s="413"/>
      <c r="AA236" s="413"/>
      <c r="AB236" s="413"/>
      <c r="AC236" s="413"/>
      <c r="AD236" s="413"/>
      <c r="AE236" s="413"/>
      <c r="AF236" s="413"/>
      <c r="AG236" s="413"/>
      <c r="AH236" s="413"/>
      <c r="AI236" s="413"/>
      <c r="AJ236" s="413"/>
      <c r="AK236" s="413"/>
      <c r="AL236" s="413"/>
      <c r="AM236" s="292"/>
    </row>
    <row r="237" spans="1:39" hidden="1" outlineLevel="1">
      <c r="A237" s="517">
        <v>6</v>
      </c>
      <c r="B237" s="515"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4"/>
      <c r="Z237" s="409"/>
      <c r="AA237" s="409"/>
      <c r="AB237" s="409"/>
      <c r="AC237" s="409"/>
      <c r="AD237" s="409"/>
      <c r="AE237" s="409"/>
      <c r="AF237" s="414"/>
      <c r="AG237" s="414"/>
      <c r="AH237" s="414"/>
      <c r="AI237" s="414"/>
      <c r="AJ237" s="414"/>
      <c r="AK237" s="414"/>
      <c r="AL237" s="414"/>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5"/>
      <c r="Z239" s="415"/>
      <c r="AA239" s="415"/>
      <c r="AB239" s="415"/>
      <c r="AC239" s="415"/>
      <c r="AD239" s="415"/>
      <c r="AE239" s="415"/>
      <c r="AF239" s="415"/>
      <c r="AG239" s="415"/>
      <c r="AH239" s="415"/>
      <c r="AI239" s="415"/>
      <c r="AJ239" s="415"/>
      <c r="AK239" s="415"/>
      <c r="AL239" s="415"/>
      <c r="AM239" s="313"/>
    </row>
    <row r="240" spans="1:39" ht="45" hidden="1" outlineLevel="1">
      <c r="A240" s="517">
        <v>7</v>
      </c>
      <c r="B240" s="515"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4"/>
      <c r="Z240" s="409"/>
      <c r="AA240" s="409"/>
      <c r="AB240" s="409"/>
      <c r="AC240" s="409"/>
      <c r="AD240" s="409"/>
      <c r="AE240" s="409"/>
      <c r="AF240" s="414"/>
      <c r="AG240" s="414"/>
      <c r="AH240" s="414"/>
      <c r="AI240" s="414"/>
      <c r="AJ240" s="414"/>
      <c r="AK240" s="414"/>
      <c r="AL240" s="414"/>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5"/>
      <c r="Z242" s="416"/>
      <c r="AA242" s="415"/>
      <c r="AB242" s="415"/>
      <c r="AC242" s="415"/>
      <c r="AD242" s="415"/>
      <c r="AE242" s="415"/>
      <c r="AF242" s="415"/>
      <c r="AG242" s="415"/>
      <c r="AH242" s="415"/>
      <c r="AI242" s="415"/>
      <c r="AJ242" s="415"/>
      <c r="AK242" s="415"/>
      <c r="AL242" s="415"/>
      <c r="AM242" s="313"/>
    </row>
    <row r="243" spans="1:39" ht="30" hidden="1" outlineLevel="1">
      <c r="A243" s="517">
        <v>8</v>
      </c>
      <c r="B243" s="515"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4"/>
      <c r="Z243" s="409"/>
      <c r="AA243" s="409"/>
      <c r="AB243" s="409"/>
      <c r="AC243" s="409"/>
      <c r="AD243" s="409"/>
      <c r="AE243" s="409"/>
      <c r="AF243" s="414"/>
      <c r="AG243" s="414"/>
      <c r="AH243" s="414"/>
      <c r="AI243" s="414"/>
      <c r="AJ243" s="414"/>
      <c r="AK243" s="414"/>
      <c r="AL243" s="414"/>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5"/>
      <c r="Z245" s="416"/>
      <c r="AA245" s="415"/>
      <c r="AB245" s="415"/>
      <c r="AC245" s="415"/>
      <c r="AD245" s="415"/>
      <c r="AE245" s="415"/>
      <c r="AF245" s="415"/>
      <c r="AG245" s="415"/>
      <c r="AH245" s="415"/>
      <c r="AI245" s="415"/>
      <c r="AJ245" s="415"/>
      <c r="AK245" s="415"/>
      <c r="AL245" s="415"/>
      <c r="AM245" s="313"/>
    </row>
    <row r="246" spans="1:39" ht="30" hidden="1" outlineLevel="1">
      <c r="A246" s="517">
        <v>9</v>
      </c>
      <c r="B246" s="515"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4"/>
      <c r="Z246" s="409"/>
      <c r="AA246" s="409"/>
      <c r="AB246" s="409"/>
      <c r="AC246" s="409"/>
      <c r="AD246" s="409"/>
      <c r="AE246" s="409"/>
      <c r="AF246" s="414"/>
      <c r="AG246" s="414"/>
      <c r="AH246" s="414"/>
      <c r="AI246" s="414"/>
      <c r="AJ246" s="414"/>
      <c r="AK246" s="414"/>
      <c r="AL246" s="414"/>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5"/>
      <c r="Z248" s="415"/>
      <c r="AA248" s="415"/>
      <c r="AB248" s="415"/>
      <c r="AC248" s="415"/>
      <c r="AD248" s="415"/>
      <c r="AE248" s="415"/>
      <c r="AF248" s="415"/>
      <c r="AG248" s="415"/>
      <c r="AH248" s="415"/>
      <c r="AI248" s="415"/>
      <c r="AJ248" s="415"/>
      <c r="AK248" s="415"/>
      <c r="AL248" s="415"/>
      <c r="AM248" s="313"/>
    </row>
    <row r="249" spans="1:39" ht="45" hidden="1" outlineLevel="1">
      <c r="A249" s="517">
        <v>10</v>
      </c>
      <c r="B249" s="515"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4"/>
      <c r="Z249" s="409"/>
      <c r="AA249" s="409"/>
      <c r="AB249" s="409"/>
      <c r="AC249" s="409"/>
      <c r="AD249" s="409"/>
      <c r="AE249" s="409"/>
      <c r="AF249" s="414"/>
      <c r="AG249" s="414"/>
      <c r="AH249" s="414"/>
      <c r="AI249" s="414"/>
      <c r="AJ249" s="414"/>
      <c r="AK249" s="414"/>
      <c r="AL249" s="414"/>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5"/>
      <c r="Z251" s="416"/>
      <c r="AA251" s="415"/>
      <c r="AB251" s="415"/>
      <c r="AC251" s="415"/>
      <c r="AD251" s="415"/>
      <c r="AE251" s="415"/>
      <c r="AF251" s="415"/>
      <c r="AG251" s="415"/>
      <c r="AH251" s="415"/>
      <c r="AI251" s="415"/>
      <c r="AJ251" s="415"/>
      <c r="AK251" s="415"/>
      <c r="AL251" s="415"/>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3"/>
      <c r="Z252" s="413"/>
      <c r="AA252" s="413"/>
      <c r="AB252" s="413"/>
      <c r="AC252" s="413"/>
      <c r="AD252" s="413"/>
      <c r="AE252" s="413"/>
      <c r="AF252" s="413"/>
      <c r="AG252" s="413"/>
      <c r="AH252" s="413"/>
      <c r="AI252" s="413"/>
      <c r="AJ252" s="413"/>
      <c r="AK252" s="413"/>
      <c r="AL252" s="413"/>
      <c r="AM252" s="292"/>
    </row>
    <row r="253" spans="1:39" ht="45" hidden="1" outlineLevel="1">
      <c r="A253" s="517">
        <v>11</v>
      </c>
      <c r="B253" s="515"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3"/>
      <c r="Z253" s="409"/>
      <c r="AA253" s="409"/>
      <c r="AB253" s="409"/>
      <c r="AC253" s="409"/>
      <c r="AD253" s="409"/>
      <c r="AE253" s="409"/>
      <c r="AF253" s="414"/>
      <c r="AG253" s="414"/>
      <c r="AH253" s="414"/>
      <c r="AI253" s="414"/>
      <c r="AJ253" s="414"/>
      <c r="AK253" s="414"/>
      <c r="AL253" s="414"/>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1"/>
      <c r="Z255" s="418"/>
      <c r="AA255" s="418"/>
      <c r="AB255" s="418"/>
      <c r="AC255" s="418"/>
      <c r="AD255" s="418"/>
      <c r="AE255" s="418"/>
      <c r="AF255" s="418"/>
      <c r="AG255" s="418"/>
      <c r="AH255" s="418"/>
      <c r="AI255" s="418"/>
      <c r="AJ255" s="418"/>
      <c r="AK255" s="418"/>
      <c r="AL255" s="418"/>
      <c r="AM255" s="306"/>
    </row>
    <row r="256" spans="1:39" ht="60" hidden="1" outlineLevel="1">
      <c r="A256" s="517">
        <v>12</v>
      </c>
      <c r="B256" s="515"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09"/>
      <c r="Z256" s="409"/>
      <c r="AA256" s="409"/>
      <c r="AB256" s="409"/>
      <c r="AC256" s="409"/>
      <c r="AD256" s="409"/>
      <c r="AE256" s="409"/>
      <c r="AF256" s="414"/>
      <c r="AG256" s="414"/>
      <c r="AH256" s="414"/>
      <c r="AI256" s="414"/>
      <c r="AJ256" s="414"/>
      <c r="AK256" s="414"/>
      <c r="AL256" s="414"/>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9"/>
      <c r="Z258" s="419"/>
      <c r="AA258" s="411"/>
      <c r="AB258" s="411"/>
      <c r="AC258" s="411"/>
      <c r="AD258" s="411"/>
      <c r="AE258" s="411"/>
      <c r="AF258" s="411"/>
      <c r="AG258" s="411"/>
      <c r="AH258" s="411"/>
      <c r="AI258" s="411"/>
      <c r="AJ258" s="411"/>
      <c r="AK258" s="411"/>
      <c r="AL258" s="411"/>
      <c r="AM258" s="306"/>
    </row>
    <row r="259" spans="1:40" ht="45" hidden="1" outlineLevel="1">
      <c r="A259" s="517">
        <v>13</v>
      </c>
      <c r="B259" s="515"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09"/>
      <c r="Z259" s="409"/>
      <c r="AA259" s="409"/>
      <c r="AB259" s="409"/>
      <c r="AC259" s="409"/>
      <c r="AD259" s="409"/>
      <c r="AE259" s="409"/>
      <c r="AF259" s="414"/>
      <c r="AG259" s="414"/>
      <c r="AH259" s="414"/>
      <c r="AI259" s="414"/>
      <c r="AJ259" s="414"/>
      <c r="AK259" s="414"/>
      <c r="AL259" s="414"/>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1"/>
      <c r="Z261" s="411"/>
      <c r="AA261" s="411"/>
      <c r="AB261" s="411"/>
      <c r="AC261" s="411"/>
      <c r="AD261" s="411"/>
      <c r="AE261" s="411"/>
      <c r="AF261" s="411"/>
      <c r="AG261" s="411"/>
      <c r="AH261" s="411"/>
      <c r="AI261" s="411"/>
      <c r="AJ261" s="411"/>
      <c r="AK261" s="411"/>
      <c r="AL261" s="411"/>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3"/>
      <c r="Z262" s="413"/>
      <c r="AA262" s="413"/>
      <c r="AB262" s="413"/>
      <c r="AC262" s="413"/>
      <c r="AD262" s="413"/>
      <c r="AE262" s="413"/>
      <c r="AF262" s="413"/>
      <c r="AG262" s="413"/>
      <c r="AH262" s="413"/>
      <c r="AI262" s="413"/>
      <c r="AJ262" s="413"/>
      <c r="AK262" s="413"/>
      <c r="AL262" s="413"/>
      <c r="AM262" s="292"/>
    </row>
    <row r="263" spans="1:40" hidden="1" outlineLevel="1">
      <c r="A263" s="517">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09"/>
      <c r="Z263" s="409"/>
      <c r="AA263" s="409"/>
      <c r="AB263" s="409"/>
      <c r="AC263" s="409"/>
      <c r="AD263" s="409"/>
      <c r="AE263" s="409"/>
      <c r="AF263" s="409"/>
      <c r="AG263" s="409"/>
      <c r="AH263" s="409"/>
      <c r="AI263" s="409"/>
      <c r="AJ263" s="409"/>
      <c r="AK263" s="409"/>
      <c r="AL263" s="409"/>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7"/>
    </row>
    <row r="265" spans="1:40" hidden="1" outlineLevel="1">
      <c r="A265" s="518"/>
      <c r="B265" s="315"/>
      <c r="C265" s="305"/>
      <c r="D265" s="291"/>
      <c r="E265" s="291"/>
      <c r="F265" s="291"/>
      <c r="G265" s="291"/>
      <c r="H265" s="291"/>
      <c r="I265" s="291"/>
      <c r="J265" s="291"/>
      <c r="K265" s="291"/>
      <c r="L265" s="291"/>
      <c r="M265" s="291"/>
      <c r="N265" s="464"/>
      <c r="O265" s="291"/>
      <c r="P265" s="291"/>
      <c r="Q265" s="291"/>
      <c r="R265" s="291"/>
      <c r="S265" s="291"/>
      <c r="T265" s="291"/>
      <c r="U265" s="291"/>
      <c r="V265" s="291"/>
      <c r="W265" s="291"/>
      <c r="X265" s="291"/>
      <c r="Y265" s="411"/>
      <c r="Z265" s="411"/>
      <c r="AA265" s="411"/>
      <c r="AB265" s="411"/>
      <c r="AC265" s="411"/>
      <c r="AD265" s="411"/>
      <c r="AE265" s="411"/>
      <c r="AF265" s="411"/>
      <c r="AG265" s="411"/>
      <c r="AH265" s="411"/>
      <c r="AI265" s="411"/>
      <c r="AJ265" s="411"/>
      <c r="AK265" s="411"/>
      <c r="AL265" s="411"/>
      <c r="AM265" s="301"/>
      <c r="AN265" s="625"/>
    </row>
    <row r="266" spans="1:40" s="309" customFormat="1" ht="15.75" hidden="1" outlineLevel="1">
      <c r="A266" s="518"/>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1"/>
      <c r="Z266" s="411"/>
      <c r="AA266" s="411"/>
      <c r="AB266" s="411"/>
      <c r="AC266" s="411"/>
      <c r="AD266" s="411"/>
      <c r="AE266" s="415"/>
      <c r="AF266" s="415"/>
      <c r="AG266" s="415"/>
      <c r="AH266" s="415"/>
      <c r="AI266" s="415"/>
      <c r="AJ266" s="415"/>
      <c r="AK266" s="415"/>
      <c r="AL266" s="415"/>
      <c r="AM266" s="512"/>
      <c r="AN266" s="626"/>
    </row>
    <row r="267" spans="1:40" hidden="1" outlineLevel="1">
      <c r="A267" s="517">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09"/>
      <c r="Z267" s="409"/>
      <c r="AA267" s="409"/>
      <c r="AB267" s="409"/>
      <c r="AC267" s="409"/>
      <c r="AD267" s="409"/>
      <c r="AE267" s="409"/>
      <c r="AF267" s="409"/>
      <c r="AG267" s="409"/>
      <c r="AH267" s="409"/>
      <c r="AI267" s="409"/>
      <c r="AJ267" s="409"/>
      <c r="AK267" s="409"/>
      <c r="AL267" s="409"/>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1"/>
      <c r="Z269" s="411"/>
      <c r="AA269" s="411"/>
      <c r="AB269" s="411"/>
      <c r="AC269" s="411"/>
      <c r="AD269" s="411"/>
      <c r="AE269" s="411"/>
      <c r="AF269" s="411"/>
      <c r="AG269" s="411"/>
      <c r="AH269" s="411"/>
      <c r="AI269" s="411"/>
      <c r="AJ269" s="411"/>
      <c r="AK269" s="411"/>
      <c r="AL269" s="411"/>
      <c r="AM269" s="306"/>
    </row>
    <row r="270" spans="1:40" s="283" customFormat="1" hidden="1" outlineLevel="1">
      <c r="A270" s="517">
        <v>16</v>
      </c>
      <c r="B270" s="323"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09"/>
      <c r="Z270" s="409"/>
      <c r="AA270" s="409"/>
      <c r="AB270" s="409"/>
      <c r="AC270" s="409"/>
      <c r="AD270" s="409"/>
      <c r="AE270" s="409"/>
      <c r="AF270" s="409"/>
      <c r="AG270" s="409"/>
      <c r="AH270" s="409"/>
      <c r="AI270" s="409"/>
      <c r="AJ270" s="409"/>
      <c r="AK270" s="409"/>
      <c r="AL270" s="409"/>
      <c r="AM270" s="296">
        <f>SUM(Y270:AL270)</f>
        <v>0</v>
      </c>
    </row>
    <row r="271" spans="1:40" s="283" customFormat="1" hidden="1" outlineLevel="1">
      <c r="A271" s="517"/>
      <c r="B271" s="323"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7"/>
    </row>
    <row r="272" spans="1:40" s="283" customFormat="1" hidden="1" outlineLevel="1">
      <c r="A272" s="517"/>
      <c r="B272" s="323"/>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1"/>
      <c r="Z272" s="411"/>
      <c r="AA272" s="411"/>
      <c r="AB272" s="411"/>
      <c r="AC272" s="411"/>
      <c r="AD272" s="411"/>
      <c r="AE272" s="415"/>
      <c r="AF272" s="415"/>
      <c r="AG272" s="415"/>
      <c r="AH272" s="415"/>
      <c r="AI272" s="415"/>
      <c r="AJ272" s="415"/>
      <c r="AK272" s="415"/>
      <c r="AL272" s="415"/>
      <c r="AM272" s="313"/>
    </row>
    <row r="273" spans="1:39" ht="15.75" hidden="1" outlineLevel="1">
      <c r="B273" s="514" t="s">
        <v>496</v>
      </c>
      <c r="C273" s="319"/>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3"/>
      <c r="Z273" s="413"/>
      <c r="AA273" s="413"/>
      <c r="AB273" s="413"/>
      <c r="AC273" s="413"/>
      <c r="AD273" s="413"/>
      <c r="AE273" s="413"/>
      <c r="AF273" s="413"/>
      <c r="AG273" s="413"/>
      <c r="AH273" s="413"/>
      <c r="AI273" s="413"/>
      <c r="AJ273" s="413"/>
      <c r="AK273" s="413"/>
      <c r="AL273" s="413"/>
      <c r="AM273" s="292"/>
    </row>
    <row r="274" spans="1:39" ht="30" hidden="1" outlineLevel="1">
      <c r="A274" s="517">
        <v>17</v>
      </c>
      <c r="B274" s="515"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3"/>
      <c r="Z274" s="409"/>
      <c r="AA274" s="409"/>
      <c r="AB274" s="409"/>
      <c r="AC274" s="409"/>
      <c r="AD274" s="409"/>
      <c r="AE274" s="409"/>
      <c r="AF274" s="414"/>
      <c r="AG274" s="414"/>
      <c r="AH274" s="414"/>
      <c r="AI274" s="414"/>
      <c r="AJ274" s="414"/>
      <c r="AK274" s="414"/>
      <c r="AL274" s="414"/>
      <c r="AM274" s="296">
        <f>SUM(Y274:AL274)</f>
        <v>0</v>
      </c>
    </row>
    <row r="275" spans="1:39"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6"/>
    </row>
    <row r="276" spans="1:39" s="770" customFormat="1" hidden="1" outlineLevel="1">
      <c r="A276" s="765"/>
      <c r="B276" s="766"/>
      <c r="C276" s="767"/>
      <c r="D276" s="767"/>
      <c r="E276" s="767"/>
      <c r="F276" s="767"/>
      <c r="G276" s="767"/>
      <c r="H276" s="767"/>
      <c r="I276" s="767"/>
      <c r="J276" s="767"/>
      <c r="K276" s="767"/>
      <c r="L276" s="767"/>
      <c r="M276" s="767"/>
      <c r="N276" s="767"/>
      <c r="O276" s="767"/>
      <c r="P276" s="767"/>
      <c r="Q276" s="767"/>
      <c r="R276" s="767"/>
      <c r="S276" s="767"/>
      <c r="T276" s="767"/>
      <c r="U276" s="767"/>
      <c r="V276" s="767"/>
      <c r="W276" s="767"/>
      <c r="X276" s="767"/>
      <c r="Y276" s="768"/>
      <c r="Z276" s="768"/>
      <c r="AA276" s="768"/>
      <c r="AB276" s="768"/>
      <c r="AC276" s="768"/>
      <c r="AD276" s="768"/>
      <c r="AE276" s="768"/>
      <c r="AF276" s="768"/>
      <c r="AG276" s="768"/>
      <c r="AH276" s="768"/>
      <c r="AI276" s="768"/>
      <c r="AJ276" s="768"/>
      <c r="AK276" s="768"/>
      <c r="AL276" s="768"/>
      <c r="AM276" s="769"/>
    </row>
    <row r="277" spans="1:39" ht="60" hidden="1" outlineLevel="1">
      <c r="A277" s="765"/>
      <c r="B277" s="515" t="s">
        <v>766</v>
      </c>
      <c r="C277" s="758" t="s">
        <v>25</v>
      </c>
      <c r="D277" s="295">
        <f>+'7.  Persistence Report'!AV187</f>
        <v>1212</v>
      </c>
      <c r="E277" s="295">
        <f>+'7.  Persistence Report'!AW187</f>
        <v>1212</v>
      </c>
      <c r="F277" s="295">
        <f>+'7.  Persistence Report'!AX187</f>
        <v>1212</v>
      </c>
      <c r="G277" s="295">
        <f>+'7.  Persistence Report'!AY187</f>
        <v>1212</v>
      </c>
      <c r="H277" s="295">
        <f>+'7.  Persistence Report'!AZ187</f>
        <v>1212</v>
      </c>
      <c r="I277" s="295">
        <f>+'7.  Persistence Report'!BA187</f>
        <v>1212</v>
      </c>
      <c r="J277" s="295">
        <f>+'7.  Persistence Report'!BB187</f>
        <v>1212</v>
      </c>
      <c r="K277" s="295">
        <f>+'7.  Persistence Report'!BC187</f>
        <v>1212</v>
      </c>
      <c r="L277" s="295">
        <f>+'7.  Persistence Report'!BD187</f>
        <v>1212</v>
      </c>
      <c r="M277" s="295">
        <f>+'7.  Persistence Report'!BE187</f>
        <v>1212</v>
      </c>
      <c r="N277" s="295">
        <v>12</v>
      </c>
      <c r="O277" s="295">
        <f>+'7.  Persistence Report'!Q187</f>
        <v>0</v>
      </c>
      <c r="P277" s="295">
        <f>+'7.  Persistence Report'!R187</f>
        <v>0</v>
      </c>
      <c r="Q277" s="295">
        <f>+'7.  Persistence Report'!S187</f>
        <v>0</v>
      </c>
      <c r="R277" s="295">
        <f>+'7.  Persistence Report'!T187</f>
        <v>0</v>
      </c>
      <c r="S277" s="295">
        <f>+'7.  Persistence Report'!U187</f>
        <v>0</v>
      </c>
      <c r="T277" s="295">
        <f>+'7.  Persistence Report'!V187</f>
        <v>0</v>
      </c>
      <c r="U277" s="295">
        <f>+'7.  Persistence Report'!W187</f>
        <v>0</v>
      </c>
      <c r="V277" s="295">
        <f>+'7.  Persistence Report'!X187</f>
        <v>0</v>
      </c>
      <c r="W277" s="295">
        <f>+'7.  Persistence Report'!Y187</f>
        <v>0</v>
      </c>
      <c r="X277" s="295">
        <f>+'7.  Persistence Report'!Z187</f>
        <v>0</v>
      </c>
      <c r="Y277" s="771">
        <v>1</v>
      </c>
      <c r="Z277" s="772"/>
      <c r="AA277" s="772"/>
      <c r="AB277" s="772"/>
      <c r="AC277" s="772"/>
      <c r="AD277" s="772"/>
      <c r="AE277" s="772"/>
      <c r="AF277" s="773"/>
      <c r="AG277" s="773"/>
      <c r="AH277" s="773"/>
      <c r="AI277" s="773"/>
      <c r="AJ277" s="773"/>
      <c r="AK277" s="773"/>
      <c r="AL277" s="773"/>
      <c r="AM277" s="296">
        <f>SUM(Y277:AL277)</f>
        <v>1</v>
      </c>
    </row>
    <row r="278" spans="1:39" hidden="1" outlineLevel="1">
      <c r="A278" s="765"/>
      <c r="B278" s="294" t="s">
        <v>289</v>
      </c>
      <c r="C278" s="758"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0">
        <f>Y277</f>
        <v>1</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6"/>
    </row>
    <row r="279" spans="1:39" hidden="1"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19"/>
      <c r="Z279" s="422"/>
      <c r="AA279" s="422"/>
      <c r="AB279" s="422"/>
      <c r="AC279" s="422"/>
      <c r="AD279" s="422"/>
      <c r="AE279" s="422"/>
      <c r="AF279" s="422"/>
      <c r="AG279" s="422"/>
      <c r="AH279" s="422"/>
      <c r="AI279" s="422"/>
      <c r="AJ279" s="422"/>
      <c r="AK279" s="422"/>
      <c r="AL279" s="422"/>
      <c r="AM279" s="306"/>
    </row>
    <row r="280" spans="1:39" hidden="1" outlineLevel="1">
      <c r="A280" s="517">
        <v>18</v>
      </c>
      <c r="B280" s="515"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3"/>
      <c r="Z280" s="409"/>
      <c r="AA280" s="409"/>
      <c r="AB280" s="409"/>
      <c r="AC280" s="409"/>
      <c r="AD280" s="409"/>
      <c r="AE280" s="409"/>
      <c r="AF280" s="414"/>
      <c r="AG280" s="414"/>
      <c r="AH280" s="414"/>
      <c r="AI280" s="414"/>
      <c r="AJ280" s="414"/>
      <c r="AK280" s="414"/>
      <c r="AL280" s="414"/>
      <c r="AM280" s="296">
        <f>SUM(Y280:AL280)</f>
        <v>0</v>
      </c>
    </row>
    <row r="281" spans="1:39"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306"/>
    </row>
    <row r="282" spans="1:39" hidden="1" outlineLevel="1">
      <c r="B282" s="321"/>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0"/>
      <c r="Z282" s="421"/>
      <c r="AA282" s="421"/>
      <c r="AB282" s="421"/>
      <c r="AC282" s="421"/>
      <c r="AD282" s="421"/>
      <c r="AE282" s="421"/>
      <c r="AF282" s="421"/>
      <c r="AG282" s="421"/>
      <c r="AH282" s="421"/>
      <c r="AI282" s="421"/>
      <c r="AJ282" s="421"/>
      <c r="AK282" s="421"/>
      <c r="AL282" s="421"/>
      <c r="AM282" s="297"/>
    </row>
    <row r="283" spans="1:39" ht="30" hidden="1" outlineLevel="1">
      <c r="A283" s="517">
        <v>19</v>
      </c>
      <c r="B283" s="515"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3"/>
      <c r="Z283" s="409"/>
      <c r="AA283" s="409"/>
      <c r="AB283" s="409"/>
      <c r="AC283" s="409"/>
      <c r="AD283" s="409"/>
      <c r="AE283" s="409"/>
      <c r="AF283" s="414"/>
      <c r="AG283" s="414"/>
      <c r="AH283" s="414"/>
      <c r="AI283" s="414"/>
      <c r="AJ283" s="414"/>
      <c r="AK283" s="414"/>
      <c r="AL283" s="414"/>
      <c r="AM283" s="296">
        <f>SUM(Y283:AL283)</f>
        <v>0</v>
      </c>
    </row>
    <row r="284" spans="1:39"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0">
        <f>Y283</f>
        <v>0</v>
      </c>
      <c r="Z284" s="410">
        <f t="shared" ref="Z284:AL284" si="745">Z283</f>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297"/>
    </row>
    <row r="285" spans="1:39" hidden="1" outlineLevel="1">
      <c r="B285" s="321"/>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1"/>
      <c r="Z285" s="411"/>
      <c r="AA285" s="411"/>
      <c r="AB285" s="411"/>
      <c r="AC285" s="411"/>
      <c r="AD285" s="411"/>
      <c r="AE285" s="411"/>
      <c r="AF285" s="411"/>
      <c r="AG285" s="411"/>
      <c r="AH285" s="411"/>
      <c r="AI285" s="411"/>
      <c r="AJ285" s="411"/>
      <c r="AK285" s="411"/>
      <c r="AL285" s="411"/>
      <c r="AM285" s="306"/>
    </row>
    <row r="286" spans="1:39" hidden="1" outlineLevel="1">
      <c r="A286" s="517">
        <v>20</v>
      </c>
      <c r="B286" s="515"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3"/>
      <c r="Z286" s="409"/>
      <c r="AA286" s="409"/>
      <c r="AB286" s="409"/>
      <c r="AC286" s="409"/>
      <c r="AD286" s="409"/>
      <c r="AE286" s="409"/>
      <c r="AF286" s="414"/>
      <c r="AG286" s="414"/>
      <c r="AH286" s="414"/>
      <c r="AI286" s="414"/>
      <c r="AJ286" s="414"/>
      <c r="AK286" s="414"/>
      <c r="AL286" s="414"/>
      <c r="AM286" s="296">
        <f>SUM(Y286:AL286)</f>
        <v>0</v>
      </c>
    </row>
    <row r="287" spans="1:39" hidden="1"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0">
        <f t="shared" ref="Y287:AL287" si="746">Y286</f>
        <v>0</v>
      </c>
      <c r="Z287" s="410">
        <f t="shared" si="746"/>
        <v>0</v>
      </c>
      <c r="AA287" s="410">
        <f t="shared" si="746"/>
        <v>0</v>
      </c>
      <c r="AB287" s="410">
        <f t="shared" si="746"/>
        <v>0</v>
      </c>
      <c r="AC287" s="410">
        <f t="shared" si="746"/>
        <v>0</v>
      </c>
      <c r="AD287" s="410">
        <f t="shared" si="746"/>
        <v>0</v>
      </c>
      <c r="AE287" s="410">
        <f t="shared" si="746"/>
        <v>0</v>
      </c>
      <c r="AF287" s="410">
        <f t="shared" si="746"/>
        <v>0</v>
      </c>
      <c r="AG287" s="410">
        <f t="shared" si="746"/>
        <v>0</v>
      </c>
      <c r="AH287" s="410">
        <f t="shared" si="746"/>
        <v>0</v>
      </c>
      <c r="AI287" s="410">
        <f t="shared" si="746"/>
        <v>0</v>
      </c>
      <c r="AJ287" s="410">
        <f t="shared" si="746"/>
        <v>0</v>
      </c>
      <c r="AK287" s="410">
        <f t="shared" si="746"/>
        <v>0</v>
      </c>
      <c r="AL287" s="410">
        <f t="shared" si="746"/>
        <v>0</v>
      </c>
      <c r="AM287" s="306"/>
    </row>
    <row r="288" spans="1:39" ht="15.75" hidden="1" outlineLevel="1">
      <c r="B288" s="322"/>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1"/>
      <c r="Z288" s="411"/>
      <c r="AA288" s="411"/>
      <c r="AB288" s="411"/>
      <c r="AC288" s="411"/>
      <c r="AD288" s="411"/>
      <c r="AE288" s="411"/>
      <c r="AF288" s="411"/>
      <c r="AG288" s="411"/>
      <c r="AH288" s="411"/>
      <c r="AI288" s="411"/>
      <c r="AJ288" s="411"/>
      <c r="AK288" s="411"/>
      <c r="AL288" s="411"/>
      <c r="AM288" s="306"/>
    </row>
    <row r="289" spans="1:39" ht="15.75" hidden="1" outlineLevel="1">
      <c r="B289" s="513" t="s">
        <v>503</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19"/>
      <c r="Z289" s="422"/>
      <c r="AA289" s="422"/>
      <c r="AB289" s="422"/>
      <c r="AC289" s="422"/>
      <c r="AD289" s="422"/>
      <c r="AE289" s="422"/>
      <c r="AF289" s="422"/>
      <c r="AG289" s="422"/>
      <c r="AH289" s="422"/>
      <c r="AI289" s="422"/>
      <c r="AJ289" s="422"/>
      <c r="AK289" s="422"/>
      <c r="AL289" s="422"/>
      <c r="AM289" s="306"/>
    </row>
    <row r="290" spans="1:39" ht="15.75" hidden="1" outlineLevel="1">
      <c r="B290" s="288" t="s">
        <v>499</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19"/>
      <c r="Z290" s="422"/>
      <c r="AA290" s="422"/>
      <c r="AB290" s="422"/>
      <c r="AC290" s="422"/>
      <c r="AD290" s="422"/>
      <c r="AE290" s="422"/>
      <c r="AF290" s="422"/>
      <c r="AG290" s="422"/>
      <c r="AH290" s="422"/>
      <c r="AI290" s="422"/>
      <c r="AJ290" s="422"/>
      <c r="AK290" s="422"/>
      <c r="AL290" s="422"/>
      <c r="AM290" s="306"/>
    </row>
    <row r="291" spans="1:39" ht="30" hidden="1" outlineLevel="1">
      <c r="A291" s="517">
        <v>21</v>
      </c>
      <c r="B291" s="515" t="s">
        <v>113</v>
      </c>
      <c r="C291" s="291" t="s">
        <v>25</v>
      </c>
      <c r="D291" s="295">
        <f>+'7.  Persistence Report'!AV184</f>
        <v>6390167</v>
      </c>
      <c r="E291" s="295">
        <f>+'7.  Persistence Report'!AW184</f>
        <v>6390167</v>
      </c>
      <c r="F291" s="295">
        <f>+'7.  Persistence Report'!AX184</f>
        <v>6390167</v>
      </c>
      <c r="G291" s="295">
        <f>+'7.  Persistence Report'!AY184</f>
        <v>6390167</v>
      </c>
      <c r="H291" s="295">
        <f>+'7.  Persistence Report'!AZ184</f>
        <v>6390167</v>
      </c>
      <c r="I291" s="295">
        <f>+'7.  Persistence Report'!BA184</f>
        <v>6390167</v>
      </c>
      <c r="J291" s="295">
        <f>+'7.  Persistence Report'!BB184</f>
        <v>6390167</v>
      </c>
      <c r="K291" s="295">
        <f>+'7.  Persistence Report'!BC184</f>
        <v>6389208</v>
      </c>
      <c r="L291" s="295">
        <f>+'7.  Persistence Report'!BD184</f>
        <v>6389208</v>
      </c>
      <c r="M291" s="295">
        <f>+'7.  Persistence Report'!BE184</f>
        <v>6360739</v>
      </c>
      <c r="N291" s="758"/>
      <c r="O291" s="295">
        <f>+'7.  Persistence Report'!Q184</f>
        <v>415</v>
      </c>
      <c r="P291" s="295">
        <f>+'7.  Persistence Report'!R184</f>
        <v>415</v>
      </c>
      <c r="Q291" s="295">
        <f>+'7.  Persistence Report'!S184</f>
        <v>415</v>
      </c>
      <c r="R291" s="295">
        <f>+'7.  Persistence Report'!T184</f>
        <v>415</v>
      </c>
      <c r="S291" s="295">
        <f>+'7.  Persistence Report'!U184</f>
        <v>415</v>
      </c>
      <c r="T291" s="295">
        <f>+'7.  Persistence Report'!V184</f>
        <v>415</v>
      </c>
      <c r="U291" s="295">
        <f>+'7.  Persistence Report'!W184</f>
        <v>415</v>
      </c>
      <c r="V291" s="295">
        <f>+'7.  Persistence Report'!X184</f>
        <v>415</v>
      </c>
      <c r="W291" s="295">
        <f>+'7.  Persistence Report'!Y184</f>
        <v>415</v>
      </c>
      <c r="X291" s="295">
        <f>+'7.  Persistence Report'!Z184</f>
        <v>413</v>
      </c>
      <c r="Y291" s="772">
        <v>1</v>
      </c>
      <c r="Z291" s="409"/>
      <c r="AA291" s="409"/>
      <c r="AB291" s="409"/>
      <c r="AC291" s="409"/>
      <c r="AD291" s="409"/>
      <c r="AE291" s="409"/>
      <c r="AF291" s="409"/>
      <c r="AG291" s="409"/>
      <c r="AH291" s="409"/>
      <c r="AI291" s="409"/>
      <c r="AJ291" s="409"/>
      <c r="AK291" s="409"/>
      <c r="AL291" s="409"/>
      <c r="AM291" s="296">
        <f>SUM(Y291:AL291)</f>
        <v>1</v>
      </c>
    </row>
    <row r="292" spans="1:39" hidden="1" outlineLevel="1">
      <c r="B292" s="294" t="s">
        <v>289</v>
      </c>
      <c r="C292" s="291" t="s">
        <v>163</v>
      </c>
      <c r="D292" s="295">
        <f>+'7.  Persistence Report'!AV188</f>
        <v>712526</v>
      </c>
      <c r="E292" s="295">
        <f>+'7.  Persistence Report'!AW188</f>
        <v>712526</v>
      </c>
      <c r="F292" s="295">
        <f>+'7.  Persistence Report'!AX188</f>
        <v>712526</v>
      </c>
      <c r="G292" s="295">
        <f>+'7.  Persistence Report'!AY188</f>
        <v>712526</v>
      </c>
      <c r="H292" s="295">
        <f>+'7.  Persistence Report'!AZ188</f>
        <v>712526</v>
      </c>
      <c r="I292" s="295">
        <f>+'7.  Persistence Report'!BA188</f>
        <v>712526</v>
      </c>
      <c r="J292" s="295">
        <f>+'7.  Persistence Report'!BB188</f>
        <v>712526</v>
      </c>
      <c r="K292" s="295">
        <f>+'7.  Persistence Report'!BC188</f>
        <v>712463</v>
      </c>
      <c r="L292" s="295">
        <f>+'7.  Persistence Report'!BD188</f>
        <v>712463</v>
      </c>
      <c r="M292" s="295">
        <f>+'7.  Persistence Report'!BE188</f>
        <v>713517</v>
      </c>
      <c r="N292" s="758"/>
      <c r="O292" s="295">
        <f>+'7.  Persistence Report'!Q188</f>
        <v>45</v>
      </c>
      <c r="P292" s="295">
        <f>+'7.  Persistence Report'!R188</f>
        <v>45</v>
      </c>
      <c r="Q292" s="295">
        <f>+'7.  Persistence Report'!S188</f>
        <v>45</v>
      </c>
      <c r="R292" s="295">
        <f>+'7.  Persistence Report'!T188</f>
        <v>45</v>
      </c>
      <c r="S292" s="295">
        <f>+'7.  Persistence Report'!U188</f>
        <v>45</v>
      </c>
      <c r="T292" s="295">
        <f>+'7.  Persistence Report'!V188</f>
        <v>45</v>
      </c>
      <c r="U292" s="295">
        <f>+'7.  Persistence Report'!W188</f>
        <v>45</v>
      </c>
      <c r="V292" s="295">
        <f>+'7.  Persistence Report'!X188</f>
        <v>45</v>
      </c>
      <c r="W292" s="295">
        <f>+'7.  Persistence Report'!Y188</f>
        <v>45</v>
      </c>
      <c r="X292" s="295">
        <f>+'7.  Persistence Report'!Z188</f>
        <v>45</v>
      </c>
      <c r="Y292" s="410">
        <f>Y291</f>
        <v>1</v>
      </c>
      <c r="Z292" s="410">
        <f t="shared" ref="Z292" si="747">Z291</f>
        <v>0</v>
      </c>
      <c r="AA292" s="410">
        <f t="shared" ref="AA292" si="748">AA291</f>
        <v>0</v>
      </c>
      <c r="AB292" s="410">
        <f t="shared" ref="AB292" si="749">AB291</f>
        <v>0</v>
      </c>
      <c r="AC292" s="410">
        <f t="shared" ref="AC292" si="750">AC291</f>
        <v>0</v>
      </c>
      <c r="AD292" s="410">
        <f t="shared" ref="AD292" si="751">AD291</f>
        <v>0</v>
      </c>
      <c r="AE292" s="410">
        <f t="shared" ref="AE292" si="752">AE291</f>
        <v>0</v>
      </c>
      <c r="AF292" s="410">
        <f t="shared" ref="AF292" si="753">AF291</f>
        <v>0</v>
      </c>
      <c r="AG292" s="410">
        <f t="shared" ref="AG292" si="754">AG291</f>
        <v>0</v>
      </c>
      <c r="AH292" s="410">
        <f t="shared" ref="AH292" si="755">AH291</f>
        <v>0</v>
      </c>
      <c r="AI292" s="410">
        <f t="shared" ref="AI292" si="756">AI291</f>
        <v>0</v>
      </c>
      <c r="AJ292" s="410">
        <f t="shared" ref="AJ292" si="757">AJ291</f>
        <v>0</v>
      </c>
      <c r="AK292" s="410">
        <f t="shared" ref="AK292" si="758">AK291</f>
        <v>0</v>
      </c>
      <c r="AL292" s="410">
        <f t="shared" ref="AL292" si="759">AL291</f>
        <v>0</v>
      </c>
      <c r="AM292" s="306"/>
    </row>
    <row r="293" spans="1:39" hidden="1" outlineLevel="1">
      <c r="B293" s="294"/>
      <c r="C293" s="291"/>
      <c r="D293" s="758"/>
      <c r="E293" s="758"/>
      <c r="F293" s="758"/>
      <c r="G293" s="758"/>
      <c r="H293" s="758"/>
      <c r="I293" s="758"/>
      <c r="J293" s="758"/>
      <c r="K293" s="758"/>
      <c r="L293" s="758"/>
      <c r="M293" s="758"/>
      <c r="N293" s="758"/>
      <c r="O293" s="758"/>
      <c r="P293" s="758"/>
      <c r="Q293" s="758"/>
      <c r="R293" s="758"/>
      <c r="S293" s="758"/>
      <c r="T293" s="758"/>
      <c r="U293" s="758"/>
      <c r="V293" s="758"/>
      <c r="W293" s="758"/>
      <c r="X293" s="758"/>
      <c r="Y293" s="419"/>
      <c r="Z293" s="422"/>
      <c r="AA293" s="422"/>
      <c r="AB293" s="422"/>
      <c r="AC293" s="422"/>
      <c r="AD293" s="422"/>
      <c r="AE293" s="422"/>
      <c r="AF293" s="422"/>
      <c r="AG293" s="422"/>
      <c r="AH293" s="422"/>
      <c r="AI293" s="422"/>
      <c r="AJ293" s="422"/>
      <c r="AK293" s="422"/>
      <c r="AL293" s="422"/>
      <c r="AM293" s="306"/>
    </row>
    <row r="294" spans="1:39" ht="30" hidden="1" outlineLevel="1">
      <c r="A294" s="517">
        <v>22</v>
      </c>
      <c r="B294" s="515" t="s">
        <v>114</v>
      </c>
      <c r="C294" s="291" t="s">
        <v>25</v>
      </c>
      <c r="D294" s="295">
        <f>+'7.  Persistence Report'!AV185</f>
        <v>2168096</v>
      </c>
      <c r="E294" s="295">
        <f>+'7.  Persistence Report'!AW185</f>
        <v>2168096</v>
      </c>
      <c r="F294" s="295">
        <f>+'7.  Persistence Report'!AX185</f>
        <v>2168096</v>
      </c>
      <c r="G294" s="295">
        <f>+'7.  Persistence Report'!AY185</f>
        <v>2168096</v>
      </c>
      <c r="H294" s="295">
        <f>+'7.  Persistence Report'!AZ185</f>
        <v>2168096</v>
      </c>
      <c r="I294" s="295">
        <f>+'7.  Persistence Report'!BA185</f>
        <v>2168096</v>
      </c>
      <c r="J294" s="295">
        <f>+'7.  Persistence Report'!BB185</f>
        <v>2168096</v>
      </c>
      <c r="K294" s="295">
        <f>+'7.  Persistence Report'!BC185</f>
        <v>2168096</v>
      </c>
      <c r="L294" s="295">
        <f>+'7.  Persistence Report'!BD185</f>
        <v>2168096</v>
      </c>
      <c r="M294" s="295">
        <f>+'7.  Persistence Report'!BE185</f>
        <v>2168096</v>
      </c>
      <c r="N294" s="758"/>
      <c r="O294" s="295">
        <f>+'7.  Persistence Report'!Q185</f>
        <v>638</v>
      </c>
      <c r="P294" s="295">
        <f>+'7.  Persistence Report'!R185</f>
        <v>638</v>
      </c>
      <c r="Q294" s="295">
        <f>+'7.  Persistence Report'!S185</f>
        <v>638</v>
      </c>
      <c r="R294" s="295">
        <f>+'7.  Persistence Report'!T185</f>
        <v>638</v>
      </c>
      <c r="S294" s="295">
        <f>+'7.  Persistence Report'!U185</f>
        <v>638</v>
      </c>
      <c r="T294" s="295">
        <f>+'7.  Persistence Report'!V185</f>
        <v>638</v>
      </c>
      <c r="U294" s="295">
        <f>+'7.  Persistence Report'!W185</f>
        <v>638</v>
      </c>
      <c r="V294" s="295">
        <f>+'7.  Persistence Report'!X185</f>
        <v>638</v>
      </c>
      <c r="W294" s="295">
        <f>+'7.  Persistence Report'!Y185</f>
        <v>638</v>
      </c>
      <c r="X294" s="295">
        <f>+'7.  Persistence Report'!Z185</f>
        <v>638</v>
      </c>
      <c r="Y294" s="772">
        <v>1</v>
      </c>
      <c r="Z294" s="409"/>
      <c r="AA294" s="409"/>
      <c r="AB294" s="409"/>
      <c r="AC294" s="409"/>
      <c r="AD294" s="409"/>
      <c r="AE294" s="409"/>
      <c r="AF294" s="409"/>
      <c r="AG294" s="409"/>
      <c r="AH294" s="409"/>
      <c r="AI294" s="409"/>
      <c r="AJ294" s="409"/>
      <c r="AK294" s="409"/>
      <c r="AL294" s="409"/>
      <c r="AM294" s="296">
        <f>SUM(Y294:AL294)</f>
        <v>1</v>
      </c>
    </row>
    <row r="295" spans="1:39" hidden="1" outlineLevel="1">
      <c r="B295" s="294" t="s">
        <v>289</v>
      </c>
      <c r="C295" s="291" t="s">
        <v>163</v>
      </c>
      <c r="D295" s="295">
        <f>+'7.  Persistence Report'!AV189</f>
        <v>22419</v>
      </c>
      <c r="E295" s="295">
        <f>+'7.  Persistence Report'!AW189</f>
        <v>22419</v>
      </c>
      <c r="F295" s="295">
        <f>+'7.  Persistence Report'!AX189</f>
        <v>22419</v>
      </c>
      <c r="G295" s="295">
        <f>+'7.  Persistence Report'!AY189</f>
        <v>22419</v>
      </c>
      <c r="H295" s="295">
        <f>+'7.  Persistence Report'!AZ189</f>
        <v>22419</v>
      </c>
      <c r="I295" s="295">
        <f>+'7.  Persistence Report'!BA189</f>
        <v>22419</v>
      </c>
      <c r="J295" s="295">
        <f>+'7.  Persistence Report'!BB189</f>
        <v>22419</v>
      </c>
      <c r="K295" s="295">
        <f>+'7.  Persistence Report'!BC189</f>
        <v>22419</v>
      </c>
      <c r="L295" s="295">
        <f>+'7.  Persistence Report'!BD189</f>
        <v>22419</v>
      </c>
      <c r="M295" s="295">
        <f>+'7.  Persistence Report'!BE189</f>
        <v>22419</v>
      </c>
      <c r="N295" s="758"/>
      <c r="O295" s="295">
        <f>+'7.  Persistence Report'!Q189</f>
        <v>7</v>
      </c>
      <c r="P295" s="295">
        <f>+'7.  Persistence Report'!R189</f>
        <v>7</v>
      </c>
      <c r="Q295" s="295">
        <f>+'7.  Persistence Report'!S189</f>
        <v>7</v>
      </c>
      <c r="R295" s="295">
        <f>+'7.  Persistence Report'!T189</f>
        <v>7</v>
      </c>
      <c r="S295" s="295">
        <f>+'7.  Persistence Report'!U189</f>
        <v>7</v>
      </c>
      <c r="T295" s="295">
        <f>+'7.  Persistence Report'!V189</f>
        <v>7</v>
      </c>
      <c r="U295" s="295">
        <f>+'7.  Persistence Report'!W189</f>
        <v>7</v>
      </c>
      <c r="V295" s="295">
        <f>+'7.  Persistence Report'!X189</f>
        <v>7</v>
      </c>
      <c r="W295" s="295">
        <f>+'7.  Persistence Report'!Y189</f>
        <v>7</v>
      </c>
      <c r="X295" s="295">
        <f>+'7.  Persistence Report'!Z189</f>
        <v>7</v>
      </c>
      <c r="Y295" s="410">
        <f>Y294</f>
        <v>1</v>
      </c>
      <c r="Z295" s="410">
        <f t="shared" ref="Z295" si="760">Z294</f>
        <v>0</v>
      </c>
      <c r="AA295" s="410">
        <f t="shared" ref="AA295" si="761">AA294</f>
        <v>0</v>
      </c>
      <c r="AB295" s="410">
        <f t="shared" ref="AB295" si="762">AB294</f>
        <v>0</v>
      </c>
      <c r="AC295" s="410">
        <f t="shared" ref="AC295" si="763">AC294</f>
        <v>0</v>
      </c>
      <c r="AD295" s="410">
        <f t="shared" ref="AD295" si="764">AD294</f>
        <v>0</v>
      </c>
      <c r="AE295" s="410">
        <f t="shared" ref="AE295" si="765">AE294</f>
        <v>0</v>
      </c>
      <c r="AF295" s="410">
        <f t="shared" ref="AF295" si="766">AF294</f>
        <v>0</v>
      </c>
      <c r="AG295" s="410">
        <f t="shared" ref="AG295" si="767">AG294</f>
        <v>0</v>
      </c>
      <c r="AH295" s="410">
        <f t="shared" ref="AH295" si="768">AH294</f>
        <v>0</v>
      </c>
      <c r="AI295" s="410">
        <f t="shared" ref="AI295" si="769">AI294</f>
        <v>0</v>
      </c>
      <c r="AJ295" s="410">
        <f t="shared" ref="AJ295" si="770">AJ294</f>
        <v>0</v>
      </c>
      <c r="AK295" s="410">
        <f t="shared" ref="AK295" si="771">AK294</f>
        <v>0</v>
      </c>
      <c r="AL295" s="410">
        <f t="shared" ref="AL295" si="772">AL294</f>
        <v>0</v>
      </c>
      <c r="AM295" s="306"/>
    </row>
    <row r="296" spans="1:39" hidden="1" outlineLevel="1">
      <c r="B296" s="294"/>
      <c r="C296" s="291"/>
      <c r="D296" s="758"/>
      <c r="E296" s="758"/>
      <c r="F296" s="758"/>
      <c r="G296" s="758"/>
      <c r="H296" s="758"/>
      <c r="I296" s="758"/>
      <c r="J296" s="758"/>
      <c r="K296" s="758"/>
      <c r="L296" s="758"/>
      <c r="M296" s="758"/>
      <c r="N296" s="758"/>
      <c r="O296" s="758"/>
      <c r="P296" s="758"/>
      <c r="Q296" s="758"/>
      <c r="R296" s="758"/>
      <c r="S296" s="758"/>
      <c r="T296" s="758"/>
      <c r="U296" s="758"/>
      <c r="V296" s="758"/>
      <c r="W296" s="758"/>
      <c r="X296" s="758"/>
      <c r="Y296" s="419"/>
      <c r="Z296" s="422"/>
      <c r="AA296" s="422"/>
      <c r="AB296" s="422"/>
      <c r="AC296" s="422"/>
      <c r="AD296" s="422"/>
      <c r="AE296" s="422"/>
      <c r="AF296" s="422"/>
      <c r="AG296" s="422"/>
      <c r="AH296" s="422"/>
      <c r="AI296" s="422"/>
      <c r="AJ296" s="422"/>
      <c r="AK296" s="422"/>
      <c r="AL296" s="422"/>
      <c r="AM296" s="306"/>
    </row>
    <row r="297" spans="1:39" ht="30" hidden="1" outlineLevel="1">
      <c r="A297" s="517">
        <v>23</v>
      </c>
      <c r="B297" s="515" t="s">
        <v>115</v>
      </c>
      <c r="C297" s="291" t="s">
        <v>25</v>
      </c>
      <c r="D297" s="295"/>
      <c r="E297" s="295"/>
      <c r="F297" s="295"/>
      <c r="G297" s="295"/>
      <c r="H297" s="295"/>
      <c r="I297" s="295"/>
      <c r="J297" s="295"/>
      <c r="K297" s="295"/>
      <c r="L297" s="295"/>
      <c r="M297" s="295"/>
      <c r="N297" s="758"/>
      <c r="O297" s="295"/>
      <c r="P297" s="295"/>
      <c r="Q297" s="295"/>
      <c r="R297" s="295"/>
      <c r="S297" s="295"/>
      <c r="T297" s="295"/>
      <c r="U297" s="295"/>
      <c r="V297" s="295"/>
      <c r="W297" s="295"/>
      <c r="X297" s="295"/>
      <c r="Y297" s="772">
        <v>1</v>
      </c>
      <c r="Z297" s="409"/>
      <c r="AA297" s="409"/>
      <c r="AB297" s="409"/>
      <c r="AC297" s="409"/>
      <c r="AD297" s="409"/>
      <c r="AE297" s="409"/>
      <c r="AF297" s="409"/>
      <c r="AG297" s="409"/>
      <c r="AH297" s="409"/>
      <c r="AI297" s="409"/>
      <c r="AJ297" s="409"/>
      <c r="AK297" s="409"/>
      <c r="AL297" s="409"/>
      <c r="AM297" s="296">
        <f>SUM(Y297:AL297)</f>
        <v>1</v>
      </c>
    </row>
    <row r="298" spans="1:39" hidden="1" outlineLevel="1">
      <c r="B298" s="294" t="s">
        <v>289</v>
      </c>
      <c r="C298" s="291" t="s">
        <v>163</v>
      </c>
      <c r="D298" s="295">
        <f>+'7.  Persistence Report'!AV190</f>
        <v>55545</v>
      </c>
      <c r="E298" s="295">
        <f>+'7.  Persistence Report'!AW190</f>
        <v>55545</v>
      </c>
      <c r="F298" s="295">
        <f>+'7.  Persistence Report'!AX190</f>
        <v>55545</v>
      </c>
      <c r="G298" s="295">
        <f>+'7.  Persistence Report'!AY190</f>
        <v>55545</v>
      </c>
      <c r="H298" s="295">
        <f>+'7.  Persistence Report'!AZ190</f>
        <v>55545</v>
      </c>
      <c r="I298" s="295">
        <f>+'7.  Persistence Report'!BA190</f>
        <v>55545</v>
      </c>
      <c r="J298" s="295">
        <f>+'7.  Persistence Report'!BB190</f>
        <v>55545</v>
      </c>
      <c r="K298" s="295">
        <f>+'7.  Persistence Report'!BC190</f>
        <v>55545</v>
      </c>
      <c r="L298" s="295">
        <f>+'7.  Persistence Report'!BD190</f>
        <v>55545</v>
      </c>
      <c r="M298" s="295">
        <f>+'7.  Persistence Report'!BE190</f>
        <v>55545</v>
      </c>
      <c r="N298" s="758"/>
      <c r="O298" s="295">
        <f>+'7.  Persistence Report'!Q190</f>
        <v>11</v>
      </c>
      <c r="P298" s="295">
        <f>+'7.  Persistence Report'!R190</f>
        <v>11</v>
      </c>
      <c r="Q298" s="295">
        <f>+'7.  Persistence Report'!S190</f>
        <v>11</v>
      </c>
      <c r="R298" s="295">
        <f>+'7.  Persistence Report'!T190</f>
        <v>11</v>
      </c>
      <c r="S298" s="295">
        <f>+'7.  Persistence Report'!U190</f>
        <v>11</v>
      </c>
      <c r="T298" s="295">
        <f>+'7.  Persistence Report'!V190</f>
        <v>11</v>
      </c>
      <c r="U298" s="295">
        <f>+'7.  Persistence Report'!W190</f>
        <v>11</v>
      </c>
      <c r="V298" s="295">
        <f>+'7.  Persistence Report'!X190</f>
        <v>11</v>
      </c>
      <c r="W298" s="295">
        <f>+'7.  Persistence Report'!Y190</f>
        <v>11</v>
      </c>
      <c r="X298" s="295">
        <f>+'7.  Persistence Report'!Z190</f>
        <v>11</v>
      </c>
      <c r="Y298" s="410">
        <f>Y297</f>
        <v>1</v>
      </c>
      <c r="Z298" s="410">
        <f t="shared" ref="Z298" si="773">Z297</f>
        <v>0</v>
      </c>
      <c r="AA298" s="410">
        <f t="shared" ref="AA298" si="774">AA297</f>
        <v>0</v>
      </c>
      <c r="AB298" s="410">
        <f t="shared" ref="AB298" si="775">AB297</f>
        <v>0</v>
      </c>
      <c r="AC298" s="410">
        <f t="shared" ref="AC298" si="776">AC297</f>
        <v>0</v>
      </c>
      <c r="AD298" s="410">
        <f t="shared" ref="AD298" si="777">AD297</f>
        <v>0</v>
      </c>
      <c r="AE298" s="410">
        <f t="shared" ref="AE298" si="778">AE297</f>
        <v>0</v>
      </c>
      <c r="AF298" s="410">
        <f t="shared" ref="AF298" si="779">AF297</f>
        <v>0</v>
      </c>
      <c r="AG298" s="410">
        <f t="shared" ref="AG298" si="780">AG297</f>
        <v>0</v>
      </c>
      <c r="AH298" s="410">
        <f t="shared" ref="AH298" si="781">AH297</f>
        <v>0</v>
      </c>
      <c r="AI298" s="410">
        <f t="shared" ref="AI298" si="782">AI297</f>
        <v>0</v>
      </c>
      <c r="AJ298" s="410">
        <f t="shared" ref="AJ298" si="783">AJ297</f>
        <v>0</v>
      </c>
      <c r="AK298" s="410">
        <f t="shared" ref="AK298" si="784">AK297</f>
        <v>0</v>
      </c>
      <c r="AL298" s="410">
        <f t="shared" ref="AL298" si="785">AL297</f>
        <v>0</v>
      </c>
      <c r="AM298" s="306"/>
    </row>
    <row r="299" spans="1:39" hidden="1" outlineLevel="1">
      <c r="B299" s="321"/>
      <c r="C299" s="291"/>
      <c r="D299" s="758"/>
      <c r="E299" s="758"/>
      <c r="F299" s="758"/>
      <c r="G299" s="758"/>
      <c r="H299" s="758"/>
      <c r="I299" s="758"/>
      <c r="J299" s="758"/>
      <c r="K299" s="758"/>
      <c r="L299" s="758"/>
      <c r="M299" s="758"/>
      <c r="N299" s="758"/>
      <c r="O299" s="758"/>
      <c r="P299" s="758"/>
      <c r="Q299" s="758"/>
      <c r="R299" s="758"/>
      <c r="S299" s="758"/>
      <c r="T299" s="758"/>
      <c r="U299" s="758"/>
      <c r="V299" s="758"/>
      <c r="W299" s="758"/>
      <c r="X299" s="758"/>
      <c r="Y299" s="419"/>
      <c r="Z299" s="422"/>
      <c r="AA299" s="422"/>
      <c r="AB299" s="422"/>
      <c r="AC299" s="422"/>
      <c r="AD299" s="422"/>
      <c r="AE299" s="422"/>
      <c r="AF299" s="422"/>
      <c r="AG299" s="422"/>
      <c r="AH299" s="422"/>
      <c r="AI299" s="422"/>
      <c r="AJ299" s="422"/>
      <c r="AK299" s="422"/>
      <c r="AL299" s="422"/>
      <c r="AM299" s="306"/>
    </row>
    <row r="300" spans="1:39" ht="30" hidden="1" outlineLevel="1">
      <c r="A300" s="517">
        <v>24</v>
      </c>
      <c r="B300" s="515" t="s">
        <v>116</v>
      </c>
      <c r="C300" s="291" t="s">
        <v>25</v>
      </c>
      <c r="D300" s="295"/>
      <c r="E300" s="295"/>
      <c r="F300" s="295"/>
      <c r="G300" s="295"/>
      <c r="H300" s="295"/>
      <c r="I300" s="295"/>
      <c r="J300" s="295"/>
      <c r="K300" s="295"/>
      <c r="L300" s="295"/>
      <c r="M300" s="295"/>
      <c r="N300" s="758"/>
      <c r="O300" s="295"/>
      <c r="P300" s="295"/>
      <c r="Q300" s="295"/>
      <c r="R300" s="295"/>
      <c r="S300" s="295"/>
      <c r="T300" s="295"/>
      <c r="U300" s="295"/>
      <c r="V300" s="295"/>
      <c r="W300" s="295"/>
      <c r="X300" s="295"/>
      <c r="Y300" s="409"/>
      <c r="Z300" s="409"/>
      <c r="AA300" s="409"/>
      <c r="AB300" s="409"/>
      <c r="AC300" s="409"/>
      <c r="AD300" s="409"/>
      <c r="AE300" s="409"/>
      <c r="AF300" s="409"/>
      <c r="AG300" s="409"/>
      <c r="AH300" s="409"/>
      <c r="AI300" s="409"/>
      <c r="AJ300" s="409"/>
      <c r="AK300" s="409"/>
      <c r="AL300" s="409"/>
      <c r="AM300" s="296">
        <f>SUM(Y300:AL300)</f>
        <v>0</v>
      </c>
    </row>
    <row r="301" spans="1:39" hidden="1" outlineLevel="1">
      <c r="B301" s="294" t="s">
        <v>289</v>
      </c>
      <c r="C301" s="291" t="s">
        <v>163</v>
      </c>
      <c r="D301" s="295"/>
      <c r="E301" s="295"/>
      <c r="F301" s="295"/>
      <c r="G301" s="295"/>
      <c r="H301" s="295"/>
      <c r="I301" s="295"/>
      <c r="J301" s="295"/>
      <c r="K301" s="295"/>
      <c r="L301" s="295"/>
      <c r="M301" s="295"/>
      <c r="N301" s="758"/>
      <c r="O301" s="295"/>
      <c r="P301" s="295"/>
      <c r="Q301" s="295"/>
      <c r="R301" s="295"/>
      <c r="S301" s="295"/>
      <c r="T301" s="295"/>
      <c r="U301" s="295"/>
      <c r="V301" s="295"/>
      <c r="W301" s="295"/>
      <c r="X301" s="295"/>
      <c r="Y301" s="410">
        <f>Y300</f>
        <v>0</v>
      </c>
      <c r="Z301" s="410">
        <f t="shared" ref="Z301" si="786">Z300</f>
        <v>0</v>
      </c>
      <c r="AA301" s="410">
        <f t="shared" ref="AA301" si="787">AA300</f>
        <v>0</v>
      </c>
      <c r="AB301" s="410">
        <f t="shared" ref="AB301" si="788">AB300</f>
        <v>0</v>
      </c>
      <c r="AC301" s="410">
        <f t="shared" ref="AC301" si="789">AC300</f>
        <v>0</v>
      </c>
      <c r="AD301" s="410">
        <f t="shared" ref="AD301" si="790">AD300</f>
        <v>0</v>
      </c>
      <c r="AE301" s="410">
        <f t="shared" ref="AE301" si="791">AE300</f>
        <v>0</v>
      </c>
      <c r="AF301" s="410">
        <f t="shared" ref="AF301" si="792">AF300</f>
        <v>0</v>
      </c>
      <c r="AG301" s="410">
        <f t="shared" ref="AG301" si="793">AG300</f>
        <v>0</v>
      </c>
      <c r="AH301" s="410">
        <f t="shared" ref="AH301" si="794">AH300</f>
        <v>0</v>
      </c>
      <c r="AI301" s="410">
        <f t="shared" ref="AI301" si="795">AI300</f>
        <v>0</v>
      </c>
      <c r="AJ301" s="410">
        <f t="shared" ref="AJ301" si="796">AJ300</f>
        <v>0</v>
      </c>
      <c r="AK301" s="410">
        <f t="shared" ref="AK301" si="797">AK300</f>
        <v>0</v>
      </c>
      <c r="AL301" s="410">
        <f t="shared" ref="AL301" si="798">AL300</f>
        <v>0</v>
      </c>
      <c r="AM301" s="306"/>
    </row>
    <row r="302" spans="1:39" hidden="1" outlineLevel="1">
      <c r="B302" s="294"/>
      <c r="C302" s="291"/>
      <c r="D302" s="758"/>
      <c r="E302" s="758"/>
      <c r="F302" s="758"/>
      <c r="G302" s="758"/>
      <c r="H302" s="758"/>
      <c r="I302" s="758"/>
      <c r="J302" s="758"/>
      <c r="K302" s="758"/>
      <c r="L302" s="758"/>
      <c r="M302" s="758"/>
      <c r="N302" s="758"/>
      <c r="O302" s="758"/>
      <c r="P302" s="758"/>
      <c r="Q302" s="758"/>
      <c r="R302" s="758"/>
      <c r="S302" s="758"/>
      <c r="T302" s="758"/>
      <c r="U302" s="758"/>
      <c r="V302" s="758"/>
      <c r="W302" s="758"/>
      <c r="X302" s="758"/>
      <c r="Y302" s="411"/>
      <c r="Z302" s="422"/>
      <c r="AA302" s="422"/>
      <c r="AB302" s="422"/>
      <c r="AC302" s="422"/>
      <c r="AD302" s="422"/>
      <c r="AE302" s="422"/>
      <c r="AF302" s="422"/>
      <c r="AG302" s="422"/>
      <c r="AH302" s="422"/>
      <c r="AI302" s="422"/>
      <c r="AJ302" s="422"/>
      <c r="AK302" s="422"/>
      <c r="AL302" s="422"/>
      <c r="AM302" s="306"/>
    </row>
    <row r="303" spans="1:39" ht="15.75" hidden="1" outlineLevel="1">
      <c r="B303" s="288" t="s">
        <v>500</v>
      </c>
      <c r="C303" s="291"/>
      <c r="D303" s="758"/>
      <c r="E303" s="758"/>
      <c r="F303" s="758"/>
      <c r="G303" s="758"/>
      <c r="H303" s="758"/>
      <c r="I303" s="758"/>
      <c r="J303" s="758"/>
      <c r="K303" s="758"/>
      <c r="L303" s="758"/>
      <c r="M303" s="758"/>
      <c r="N303" s="758"/>
      <c r="O303" s="758"/>
      <c r="P303" s="758"/>
      <c r="Q303" s="758"/>
      <c r="R303" s="758"/>
      <c r="S303" s="758"/>
      <c r="T303" s="758"/>
      <c r="U303" s="758"/>
      <c r="V303" s="758"/>
      <c r="W303" s="758"/>
      <c r="X303" s="758"/>
      <c r="Y303" s="411"/>
      <c r="Z303" s="422"/>
      <c r="AA303" s="422"/>
      <c r="AB303" s="422"/>
      <c r="AC303" s="422"/>
      <c r="AD303" s="422"/>
      <c r="AE303" s="422"/>
      <c r="AF303" s="422"/>
      <c r="AG303" s="422"/>
      <c r="AH303" s="422"/>
      <c r="AI303" s="422"/>
      <c r="AJ303" s="422"/>
      <c r="AK303" s="422"/>
      <c r="AL303" s="422"/>
      <c r="AM303" s="306"/>
    </row>
    <row r="304" spans="1:39" ht="30" hidden="1" outlineLevel="1">
      <c r="A304" s="517">
        <v>25</v>
      </c>
      <c r="B304" s="515"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3"/>
      <c r="Z304" s="409"/>
      <c r="AA304" s="409"/>
      <c r="AB304" s="409"/>
      <c r="AC304" s="409"/>
      <c r="AD304" s="409"/>
      <c r="AE304" s="409"/>
      <c r="AF304" s="409"/>
      <c r="AG304" s="414"/>
      <c r="AH304" s="414"/>
      <c r="AI304" s="414"/>
      <c r="AJ304" s="414"/>
      <c r="AK304" s="414"/>
      <c r="AL304" s="414"/>
      <c r="AM304" s="296">
        <f>SUM(Y304:AL304)</f>
        <v>0</v>
      </c>
    </row>
    <row r="305" spans="1:39" hidden="1"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0">
        <f>Y304</f>
        <v>0</v>
      </c>
      <c r="Z305" s="410">
        <f t="shared" ref="Z305" si="799">Z304</f>
        <v>0</v>
      </c>
      <c r="AA305" s="410">
        <f t="shared" ref="AA305" si="800">AA304</f>
        <v>0</v>
      </c>
      <c r="AB305" s="410">
        <f t="shared" ref="AB305" si="801">AB304</f>
        <v>0</v>
      </c>
      <c r="AC305" s="410">
        <f t="shared" ref="AC305" si="802">AC304</f>
        <v>0</v>
      </c>
      <c r="AD305" s="410">
        <f t="shared" ref="AD305" si="803">AD304</f>
        <v>0</v>
      </c>
      <c r="AE305" s="410">
        <f t="shared" ref="AE305" si="804">AE304</f>
        <v>0</v>
      </c>
      <c r="AF305" s="410">
        <f t="shared" ref="AF305" si="805">AF304</f>
        <v>0</v>
      </c>
      <c r="AG305" s="410">
        <f t="shared" ref="AG305" si="806">AG304</f>
        <v>0</v>
      </c>
      <c r="AH305" s="410">
        <f t="shared" ref="AH305" si="807">AH304</f>
        <v>0</v>
      </c>
      <c r="AI305" s="410">
        <f t="shared" ref="AI305" si="808">AI304</f>
        <v>0</v>
      </c>
      <c r="AJ305" s="410">
        <f t="shared" ref="AJ305" si="809">AJ304</f>
        <v>0</v>
      </c>
      <c r="AK305" s="410">
        <f t="shared" ref="AK305" si="810">AK304</f>
        <v>0</v>
      </c>
      <c r="AL305" s="410">
        <f t="shared" ref="AL305" si="811">AL304</f>
        <v>0</v>
      </c>
      <c r="AM305" s="306"/>
    </row>
    <row r="306" spans="1:39" hidden="1" outlineLevel="1">
      <c r="B306" s="294"/>
      <c r="C306" s="291"/>
      <c r="D306" s="758"/>
      <c r="E306" s="758"/>
      <c r="F306" s="758"/>
      <c r="G306" s="758"/>
      <c r="H306" s="758"/>
      <c r="I306" s="758"/>
      <c r="J306" s="758"/>
      <c r="K306" s="758"/>
      <c r="L306" s="758"/>
      <c r="M306" s="758"/>
      <c r="N306" s="758"/>
      <c r="O306" s="758"/>
      <c r="P306" s="758"/>
      <c r="Q306" s="758"/>
      <c r="R306" s="758"/>
      <c r="S306" s="758"/>
      <c r="T306" s="758"/>
      <c r="U306" s="758"/>
      <c r="V306" s="758"/>
      <c r="W306" s="758"/>
      <c r="X306" s="758"/>
      <c r="Y306" s="411"/>
      <c r="Z306" s="422"/>
      <c r="AA306" s="422"/>
      <c r="AB306" s="422"/>
      <c r="AC306" s="422"/>
      <c r="AD306" s="422"/>
      <c r="AE306" s="422"/>
      <c r="AF306" s="422"/>
      <c r="AG306" s="422"/>
      <c r="AH306" s="422"/>
      <c r="AI306" s="422"/>
      <c r="AJ306" s="422"/>
      <c r="AK306" s="422"/>
      <c r="AL306" s="422"/>
      <c r="AM306" s="306"/>
    </row>
    <row r="307" spans="1:39" ht="30" hidden="1" outlineLevel="1">
      <c r="A307" s="517">
        <v>26</v>
      </c>
      <c r="B307" s="515" t="s">
        <v>118</v>
      </c>
      <c r="C307" s="291" t="s">
        <v>25</v>
      </c>
      <c r="D307" s="295">
        <f>+'7.  Persistence Report'!AV186</f>
        <v>5736308</v>
      </c>
      <c r="E307" s="295">
        <f>+'7.  Persistence Report'!AW186</f>
        <v>5625068</v>
      </c>
      <c r="F307" s="295">
        <f>+'7.  Persistence Report'!AX186</f>
        <v>5625068</v>
      </c>
      <c r="G307" s="295">
        <f>+'7.  Persistence Report'!AY186</f>
        <v>5625068</v>
      </c>
      <c r="H307" s="295">
        <f>+'7.  Persistence Report'!AZ186</f>
        <v>5625068</v>
      </c>
      <c r="I307" s="295">
        <f>+'7.  Persistence Report'!BA186</f>
        <v>5624198</v>
      </c>
      <c r="J307" s="295">
        <f>+'7.  Persistence Report'!BB186</f>
        <v>5624198</v>
      </c>
      <c r="K307" s="295">
        <f>+'7.  Persistence Report'!BC186</f>
        <v>5624198</v>
      </c>
      <c r="L307" s="295">
        <f>+'7.  Persistence Report'!BD186</f>
        <v>5600646</v>
      </c>
      <c r="M307" s="295">
        <f>+'7.  Persistence Report'!BE186</f>
        <v>5600646</v>
      </c>
      <c r="N307" s="295">
        <v>12</v>
      </c>
      <c r="O307" s="295">
        <f>+'7.  Persistence Report'!Q186</f>
        <v>820</v>
      </c>
      <c r="P307" s="295">
        <f>+'7.  Persistence Report'!R186</f>
        <v>798</v>
      </c>
      <c r="Q307" s="295">
        <f>+'7.  Persistence Report'!S186</f>
        <v>798</v>
      </c>
      <c r="R307" s="295">
        <f>+'7.  Persistence Report'!T186</f>
        <v>798</v>
      </c>
      <c r="S307" s="295">
        <f>+'7.  Persistence Report'!U186</f>
        <v>798</v>
      </c>
      <c r="T307" s="295">
        <f>+'7.  Persistence Report'!V186</f>
        <v>798</v>
      </c>
      <c r="U307" s="295">
        <f>+'7.  Persistence Report'!W186</f>
        <v>798</v>
      </c>
      <c r="V307" s="295">
        <f>+'7.  Persistence Report'!X186</f>
        <v>798</v>
      </c>
      <c r="W307" s="295">
        <f>+'7.  Persistence Report'!Y186</f>
        <v>795</v>
      </c>
      <c r="X307" s="295">
        <f>+'7.  Persistence Report'!Z186</f>
        <v>795</v>
      </c>
      <c r="Y307" s="423"/>
      <c r="Z307" s="772">
        <v>0.12</v>
      </c>
      <c r="AA307" s="772">
        <v>0.88</v>
      </c>
      <c r="AB307" s="409"/>
      <c r="AC307" s="409"/>
      <c r="AD307" s="409"/>
      <c r="AE307" s="409"/>
      <c r="AF307" s="409"/>
      <c r="AG307" s="414"/>
      <c r="AH307" s="414"/>
      <c r="AI307" s="414"/>
      <c r="AJ307" s="414"/>
      <c r="AK307" s="414"/>
      <c r="AL307" s="414"/>
      <c r="AM307" s="296">
        <f>SUM(Y307:AL307)</f>
        <v>1</v>
      </c>
    </row>
    <row r="308" spans="1:39" hidden="1" outlineLevel="1">
      <c r="B308" s="294" t="s">
        <v>289</v>
      </c>
      <c r="C308" s="291" t="s">
        <v>163</v>
      </c>
      <c r="D308" s="295">
        <f>+'7.  Persistence Report'!AV191</f>
        <v>6527366</v>
      </c>
      <c r="E308" s="295">
        <f>+'7.  Persistence Report'!AW191</f>
        <v>6638606</v>
      </c>
      <c r="F308" s="295">
        <f>+'7.  Persistence Report'!AX191</f>
        <v>7405152</v>
      </c>
      <c r="G308" s="295">
        <f>+'7.  Persistence Report'!AY191</f>
        <v>7405152</v>
      </c>
      <c r="H308" s="295">
        <f>+'7.  Persistence Report'!AZ191</f>
        <v>7405152</v>
      </c>
      <c r="I308" s="295">
        <f>+'7.  Persistence Report'!BA191</f>
        <v>7334430</v>
      </c>
      <c r="J308" s="295">
        <f>+'7.  Persistence Report'!BB191</f>
        <v>7334430</v>
      </c>
      <c r="K308" s="295">
        <f>+'7.  Persistence Report'!BC191</f>
        <v>7334430</v>
      </c>
      <c r="L308" s="295">
        <f>+'7.  Persistence Report'!BD191</f>
        <v>7317576</v>
      </c>
      <c r="M308" s="295">
        <f>+'7.  Persistence Report'!BE191</f>
        <v>7317576</v>
      </c>
      <c r="N308" s="295">
        <f>N307</f>
        <v>12</v>
      </c>
      <c r="O308" s="295">
        <f>+'7.  Persistence Report'!Q191</f>
        <v>1656</v>
      </c>
      <c r="P308" s="295">
        <f>+'7.  Persistence Report'!R191</f>
        <v>1678</v>
      </c>
      <c r="Q308" s="295">
        <f>+'7.  Persistence Report'!S191</f>
        <v>1991</v>
      </c>
      <c r="R308" s="295">
        <f>+'7.  Persistence Report'!T191</f>
        <v>1991</v>
      </c>
      <c r="S308" s="295">
        <f>+'7.  Persistence Report'!U191</f>
        <v>1991</v>
      </c>
      <c r="T308" s="295">
        <f>+'7.  Persistence Report'!V191</f>
        <v>1982</v>
      </c>
      <c r="U308" s="295">
        <f>+'7.  Persistence Report'!W191</f>
        <v>1982</v>
      </c>
      <c r="V308" s="295">
        <f>+'7.  Persistence Report'!X191</f>
        <v>1982</v>
      </c>
      <c r="W308" s="295">
        <f>+'7.  Persistence Report'!Y191</f>
        <v>1981</v>
      </c>
      <c r="X308" s="295">
        <f>+'7.  Persistence Report'!Z191</f>
        <v>1981</v>
      </c>
      <c r="Y308" s="410">
        <f>Y307</f>
        <v>0</v>
      </c>
      <c r="Z308" s="410">
        <f t="shared" ref="Z308" si="812">Z307</f>
        <v>0.12</v>
      </c>
      <c r="AA308" s="410">
        <f t="shared" ref="AA308" si="813">AA307</f>
        <v>0.88</v>
      </c>
      <c r="AB308" s="410">
        <f t="shared" ref="AB308" si="814">AB307</f>
        <v>0</v>
      </c>
      <c r="AC308" s="410">
        <f t="shared" ref="AC308" si="815">AC307</f>
        <v>0</v>
      </c>
      <c r="AD308" s="410">
        <f t="shared" ref="AD308" si="816">AD307</f>
        <v>0</v>
      </c>
      <c r="AE308" s="410">
        <f t="shared" ref="AE308" si="817">AE307</f>
        <v>0</v>
      </c>
      <c r="AF308" s="410">
        <f t="shared" ref="AF308" si="818">AF307</f>
        <v>0</v>
      </c>
      <c r="AG308" s="410">
        <f t="shared" ref="AG308" si="819">AG307</f>
        <v>0</v>
      </c>
      <c r="AH308" s="410">
        <f t="shared" ref="AH308" si="820">AH307</f>
        <v>0</v>
      </c>
      <c r="AI308" s="410">
        <f t="shared" ref="AI308" si="821">AI307</f>
        <v>0</v>
      </c>
      <c r="AJ308" s="410">
        <f t="shared" ref="AJ308" si="822">AJ307</f>
        <v>0</v>
      </c>
      <c r="AK308" s="410">
        <f t="shared" ref="AK308" si="823">AK307</f>
        <v>0</v>
      </c>
      <c r="AL308" s="410">
        <f t="shared" ref="AL308" si="824">AL307</f>
        <v>0</v>
      </c>
      <c r="AM308" s="306"/>
    </row>
    <row r="309" spans="1:39" hidden="1" outlineLevel="1">
      <c r="B309" s="294"/>
      <c r="C309" s="291"/>
      <c r="D309" s="758"/>
      <c r="E309" s="758"/>
      <c r="F309" s="758"/>
      <c r="G309" s="758"/>
      <c r="H309" s="758"/>
      <c r="I309" s="758"/>
      <c r="J309" s="758"/>
      <c r="K309" s="758"/>
      <c r="L309" s="758"/>
      <c r="M309" s="758"/>
      <c r="N309" s="758"/>
      <c r="O309" s="758"/>
      <c r="P309" s="758"/>
      <c r="Q309" s="758"/>
      <c r="R309" s="758"/>
      <c r="S309" s="758"/>
      <c r="T309" s="758"/>
      <c r="U309" s="758"/>
      <c r="V309" s="758"/>
      <c r="W309" s="758"/>
      <c r="X309" s="758"/>
      <c r="Y309" s="411"/>
      <c r="Z309" s="422"/>
      <c r="AA309" s="422"/>
      <c r="AB309" s="422"/>
      <c r="AC309" s="422"/>
      <c r="AD309" s="422"/>
      <c r="AE309" s="422"/>
      <c r="AF309" s="422"/>
      <c r="AG309" s="422"/>
      <c r="AH309" s="422"/>
      <c r="AI309" s="422"/>
      <c r="AJ309" s="422"/>
      <c r="AK309" s="422"/>
      <c r="AL309" s="422"/>
      <c r="AM309" s="306"/>
    </row>
    <row r="310" spans="1:39" ht="30" hidden="1" outlineLevel="1">
      <c r="A310" s="517">
        <v>27</v>
      </c>
      <c r="B310" s="515"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3"/>
      <c r="Z310" s="409"/>
      <c r="AA310" s="409"/>
      <c r="AB310" s="409"/>
      <c r="AC310" s="409"/>
      <c r="AD310" s="409"/>
      <c r="AE310" s="409"/>
      <c r="AF310" s="409"/>
      <c r="AG310" s="414"/>
      <c r="AH310" s="414"/>
      <c r="AI310" s="414"/>
      <c r="AJ310" s="414"/>
      <c r="AK310" s="414"/>
      <c r="AL310" s="414"/>
      <c r="AM310" s="296">
        <f>SUM(Y310:AL310)</f>
        <v>0</v>
      </c>
    </row>
    <row r="311" spans="1:39"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0">
        <f>Y310</f>
        <v>0</v>
      </c>
      <c r="Z311" s="410">
        <f t="shared" ref="Z311" si="825">Z310</f>
        <v>0</v>
      </c>
      <c r="AA311" s="410">
        <f t="shared" ref="AA311" si="826">AA310</f>
        <v>0</v>
      </c>
      <c r="AB311" s="410">
        <f t="shared" ref="AB311" si="827">AB310</f>
        <v>0</v>
      </c>
      <c r="AC311" s="410">
        <f t="shared" ref="AC311" si="828">AC310</f>
        <v>0</v>
      </c>
      <c r="AD311" s="410">
        <f t="shared" ref="AD311" si="829">AD310</f>
        <v>0</v>
      </c>
      <c r="AE311" s="410">
        <f t="shared" ref="AE311" si="830">AE310</f>
        <v>0</v>
      </c>
      <c r="AF311" s="410">
        <f t="shared" ref="AF311" si="831">AF310</f>
        <v>0</v>
      </c>
      <c r="AG311" s="410">
        <f t="shared" ref="AG311" si="832">AG310</f>
        <v>0</v>
      </c>
      <c r="AH311" s="410">
        <f t="shared" ref="AH311" si="833">AH310</f>
        <v>0</v>
      </c>
      <c r="AI311" s="410">
        <f t="shared" ref="AI311" si="834">AI310</f>
        <v>0</v>
      </c>
      <c r="AJ311" s="410">
        <f t="shared" ref="AJ311" si="835">AJ310</f>
        <v>0</v>
      </c>
      <c r="AK311" s="410">
        <f t="shared" ref="AK311" si="836">AK310</f>
        <v>0</v>
      </c>
      <c r="AL311" s="410">
        <f t="shared" ref="AL311" si="837">AL310</f>
        <v>0</v>
      </c>
      <c r="AM311" s="306"/>
    </row>
    <row r="312" spans="1:39" hidden="1" outlineLevel="1">
      <c r="B312" s="294"/>
      <c r="C312" s="291"/>
      <c r="D312" s="758"/>
      <c r="E312" s="758"/>
      <c r="F312" s="758"/>
      <c r="G312" s="758"/>
      <c r="H312" s="758"/>
      <c r="I312" s="758"/>
      <c r="J312" s="758"/>
      <c r="K312" s="758"/>
      <c r="L312" s="758"/>
      <c r="M312" s="758"/>
      <c r="N312" s="758"/>
      <c r="O312" s="758"/>
      <c r="P312" s="758"/>
      <c r="Q312" s="758"/>
      <c r="R312" s="758"/>
      <c r="S312" s="758"/>
      <c r="T312" s="758"/>
      <c r="U312" s="758"/>
      <c r="V312" s="758"/>
      <c r="W312" s="758"/>
      <c r="X312" s="758"/>
      <c r="Y312" s="411"/>
      <c r="Z312" s="422"/>
      <c r="AA312" s="422"/>
      <c r="AB312" s="422"/>
      <c r="AC312" s="422"/>
      <c r="AD312" s="422"/>
      <c r="AE312" s="422"/>
      <c r="AF312" s="422"/>
      <c r="AG312" s="422"/>
      <c r="AH312" s="422"/>
      <c r="AI312" s="422"/>
      <c r="AJ312" s="422"/>
      <c r="AK312" s="422"/>
      <c r="AL312" s="422"/>
      <c r="AM312" s="306"/>
    </row>
    <row r="313" spans="1:39" ht="45" hidden="1" outlineLevel="1">
      <c r="A313" s="517">
        <v>28</v>
      </c>
      <c r="B313" s="515"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3"/>
      <c r="Z313" s="409"/>
      <c r="AA313" s="409"/>
      <c r="AB313" s="409"/>
      <c r="AC313" s="409"/>
      <c r="AD313" s="409"/>
      <c r="AE313" s="409"/>
      <c r="AF313" s="409"/>
      <c r="AG313" s="414"/>
      <c r="AH313" s="414"/>
      <c r="AI313" s="414"/>
      <c r="AJ313" s="414"/>
      <c r="AK313" s="414"/>
      <c r="AL313" s="414"/>
      <c r="AM313" s="296">
        <f>SUM(Y313:AL313)</f>
        <v>0</v>
      </c>
    </row>
    <row r="314" spans="1:39"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0">
        <f>Y313</f>
        <v>0</v>
      </c>
      <c r="Z314" s="410">
        <f t="shared" ref="Z314" si="838">Z313</f>
        <v>0</v>
      </c>
      <c r="AA314" s="410">
        <f t="shared" ref="AA314" si="839">AA313</f>
        <v>0</v>
      </c>
      <c r="AB314" s="410">
        <f t="shared" ref="AB314" si="840">AB313</f>
        <v>0</v>
      </c>
      <c r="AC314" s="410">
        <f t="shared" ref="AC314" si="841">AC313</f>
        <v>0</v>
      </c>
      <c r="AD314" s="410">
        <f t="shared" ref="AD314" si="842">AD313</f>
        <v>0</v>
      </c>
      <c r="AE314" s="410">
        <f t="shared" ref="AE314" si="843">AE313</f>
        <v>0</v>
      </c>
      <c r="AF314" s="410">
        <f t="shared" ref="AF314" si="844">AF313</f>
        <v>0</v>
      </c>
      <c r="AG314" s="410">
        <f t="shared" ref="AG314" si="845">AG313</f>
        <v>0</v>
      </c>
      <c r="AH314" s="410">
        <f t="shared" ref="AH314" si="846">AH313</f>
        <v>0</v>
      </c>
      <c r="AI314" s="410">
        <f t="shared" ref="AI314" si="847">AI313</f>
        <v>0</v>
      </c>
      <c r="AJ314" s="410">
        <f t="shared" ref="AJ314" si="848">AJ313</f>
        <v>0</v>
      </c>
      <c r="AK314" s="410">
        <f t="shared" ref="AK314" si="849">AK313</f>
        <v>0</v>
      </c>
      <c r="AL314" s="410">
        <f t="shared" ref="AL314" si="850">AL313</f>
        <v>0</v>
      </c>
      <c r="AM314" s="306"/>
    </row>
    <row r="315" spans="1:39" hidden="1" outlineLevel="1">
      <c r="B315" s="294"/>
      <c r="C315" s="291"/>
      <c r="D315" s="758"/>
      <c r="E315" s="758"/>
      <c r="F315" s="758"/>
      <c r="G315" s="758"/>
      <c r="H315" s="758"/>
      <c r="I315" s="758"/>
      <c r="J315" s="758"/>
      <c r="K315" s="758"/>
      <c r="L315" s="758"/>
      <c r="M315" s="758"/>
      <c r="N315" s="758"/>
      <c r="O315" s="758"/>
      <c r="P315" s="758"/>
      <c r="Q315" s="758"/>
      <c r="R315" s="758"/>
      <c r="S315" s="758"/>
      <c r="T315" s="758"/>
      <c r="U315" s="758"/>
      <c r="V315" s="758"/>
      <c r="W315" s="758"/>
      <c r="X315" s="758"/>
      <c r="Y315" s="411"/>
      <c r="Z315" s="422"/>
      <c r="AA315" s="422"/>
      <c r="AB315" s="422"/>
      <c r="AC315" s="422"/>
      <c r="AD315" s="422"/>
      <c r="AE315" s="422"/>
      <c r="AF315" s="422"/>
      <c r="AG315" s="422"/>
      <c r="AH315" s="422"/>
      <c r="AI315" s="422"/>
      <c r="AJ315" s="422"/>
      <c r="AK315" s="422"/>
      <c r="AL315" s="422"/>
      <c r="AM315" s="306"/>
    </row>
    <row r="316" spans="1:39" ht="45" hidden="1" outlineLevel="1">
      <c r="A316" s="517">
        <v>29</v>
      </c>
      <c r="B316" s="515"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3"/>
      <c r="Z316" s="409"/>
      <c r="AA316" s="409"/>
      <c r="AB316" s="409"/>
      <c r="AC316" s="409"/>
      <c r="AD316" s="409"/>
      <c r="AE316" s="409"/>
      <c r="AF316" s="409"/>
      <c r="AG316" s="414"/>
      <c r="AH316" s="414"/>
      <c r="AI316" s="414"/>
      <c r="AJ316" s="414"/>
      <c r="AK316" s="414"/>
      <c r="AL316" s="414"/>
      <c r="AM316" s="296">
        <f>SUM(Y316:AL316)</f>
        <v>0</v>
      </c>
    </row>
    <row r="317" spans="1:39"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0">
        <f>Y316</f>
        <v>0</v>
      </c>
      <c r="Z317" s="410">
        <f t="shared" ref="Z317" si="851">Z316</f>
        <v>0</v>
      </c>
      <c r="AA317" s="410">
        <f t="shared" ref="AA317" si="852">AA316</f>
        <v>0</v>
      </c>
      <c r="AB317" s="410">
        <f t="shared" ref="AB317" si="853">AB316</f>
        <v>0</v>
      </c>
      <c r="AC317" s="410">
        <f t="shared" ref="AC317" si="854">AC316</f>
        <v>0</v>
      </c>
      <c r="AD317" s="410">
        <f t="shared" ref="AD317" si="855">AD316</f>
        <v>0</v>
      </c>
      <c r="AE317" s="410">
        <f t="shared" ref="AE317" si="856">AE316</f>
        <v>0</v>
      </c>
      <c r="AF317" s="410">
        <f t="shared" ref="AF317" si="857">AF316</f>
        <v>0</v>
      </c>
      <c r="AG317" s="410">
        <f t="shared" ref="AG317" si="858">AG316</f>
        <v>0</v>
      </c>
      <c r="AH317" s="410">
        <f t="shared" ref="AH317" si="859">AH316</f>
        <v>0</v>
      </c>
      <c r="AI317" s="410">
        <f t="shared" ref="AI317" si="860">AI316</f>
        <v>0</v>
      </c>
      <c r="AJ317" s="410">
        <f t="shared" ref="AJ317" si="861">AJ316</f>
        <v>0</v>
      </c>
      <c r="AK317" s="410">
        <f t="shared" ref="AK317" si="862">AK316</f>
        <v>0</v>
      </c>
      <c r="AL317" s="410">
        <f t="shared" ref="AL317" si="863">AL316</f>
        <v>0</v>
      </c>
      <c r="AM317" s="306"/>
    </row>
    <row r="318" spans="1:39" hidden="1" outlineLevel="1">
      <c r="B318" s="294"/>
      <c r="C318" s="291"/>
      <c r="D318" s="758"/>
      <c r="E318" s="758"/>
      <c r="F318" s="758"/>
      <c r="G318" s="758"/>
      <c r="H318" s="758"/>
      <c r="I318" s="758"/>
      <c r="J318" s="758"/>
      <c r="K318" s="758"/>
      <c r="L318" s="758"/>
      <c r="M318" s="758"/>
      <c r="N318" s="758"/>
      <c r="O318" s="758"/>
      <c r="P318" s="758"/>
      <c r="Q318" s="758"/>
      <c r="R318" s="758"/>
      <c r="S318" s="758"/>
      <c r="T318" s="758"/>
      <c r="U318" s="758"/>
      <c r="V318" s="758"/>
      <c r="W318" s="758"/>
      <c r="X318" s="758"/>
      <c r="Y318" s="411"/>
      <c r="Z318" s="422"/>
      <c r="AA318" s="422"/>
      <c r="AB318" s="422"/>
      <c r="AC318" s="422"/>
      <c r="AD318" s="422"/>
      <c r="AE318" s="422"/>
      <c r="AF318" s="422"/>
      <c r="AG318" s="422"/>
      <c r="AH318" s="422"/>
      <c r="AI318" s="422"/>
      <c r="AJ318" s="422"/>
      <c r="AK318" s="422"/>
      <c r="AL318" s="422"/>
      <c r="AM318" s="306"/>
    </row>
    <row r="319" spans="1:39" ht="30" hidden="1" outlineLevel="1">
      <c r="A319" s="517">
        <v>30</v>
      </c>
      <c r="B319" s="515"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3"/>
      <c r="Z319" s="409"/>
      <c r="AA319" s="409"/>
      <c r="AB319" s="409"/>
      <c r="AC319" s="409"/>
      <c r="AD319" s="409"/>
      <c r="AE319" s="409"/>
      <c r="AF319" s="409"/>
      <c r="AG319" s="414"/>
      <c r="AH319" s="414"/>
      <c r="AI319" s="414"/>
      <c r="AJ319" s="414"/>
      <c r="AK319" s="414"/>
      <c r="AL319" s="414"/>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0">
        <f>Y319</f>
        <v>0</v>
      </c>
      <c r="Z320" s="410">
        <f t="shared" ref="Z320" si="864">Z319</f>
        <v>0</v>
      </c>
      <c r="AA320" s="410">
        <f t="shared" ref="AA320" si="865">AA319</f>
        <v>0</v>
      </c>
      <c r="AB320" s="410">
        <f t="shared" ref="AB320" si="866">AB319</f>
        <v>0</v>
      </c>
      <c r="AC320" s="410">
        <f t="shared" ref="AC320" si="867">AC319</f>
        <v>0</v>
      </c>
      <c r="AD320" s="410">
        <f t="shared" ref="AD320" si="868">AD319</f>
        <v>0</v>
      </c>
      <c r="AE320" s="410">
        <f t="shared" ref="AE320" si="869">AE319</f>
        <v>0</v>
      </c>
      <c r="AF320" s="410">
        <f t="shared" ref="AF320" si="870">AF319</f>
        <v>0</v>
      </c>
      <c r="AG320" s="410">
        <f t="shared" ref="AG320" si="871">AG319</f>
        <v>0</v>
      </c>
      <c r="AH320" s="410">
        <f t="shared" ref="AH320" si="872">AH319</f>
        <v>0</v>
      </c>
      <c r="AI320" s="410">
        <f t="shared" ref="AI320" si="873">AI319</f>
        <v>0</v>
      </c>
      <c r="AJ320" s="410">
        <f t="shared" ref="AJ320" si="874">AJ319</f>
        <v>0</v>
      </c>
      <c r="AK320" s="410">
        <f t="shared" ref="AK320" si="875">AK319</f>
        <v>0</v>
      </c>
      <c r="AL320" s="410">
        <f t="shared" ref="AL320" si="876">AL319</f>
        <v>0</v>
      </c>
      <c r="AM320" s="306"/>
    </row>
    <row r="321" spans="1:39" hidden="1" outlineLevel="1">
      <c r="B321" s="294"/>
      <c r="C321" s="291"/>
      <c r="D321" s="758"/>
      <c r="E321" s="758"/>
      <c r="F321" s="758"/>
      <c r="G321" s="758"/>
      <c r="H321" s="758"/>
      <c r="I321" s="758"/>
      <c r="J321" s="758"/>
      <c r="K321" s="758"/>
      <c r="L321" s="758"/>
      <c r="M321" s="758"/>
      <c r="N321" s="758"/>
      <c r="O321" s="758"/>
      <c r="P321" s="758"/>
      <c r="Q321" s="758"/>
      <c r="R321" s="758"/>
      <c r="S321" s="758"/>
      <c r="T321" s="758"/>
      <c r="U321" s="758"/>
      <c r="V321" s="758"/>
      <c r="W321" s="758"/>
      <c r="X321" s="758"/>
      <c r="Y321" s="411"/>
      <c r="Z321" s="422"/>
      <c r="AA321" s="422"/>
      <c r="AB321" s="422"/>
      <c r="AC321" s="422"/>
      <c r="AD321" s="422"/>
      <c r="AE321" s="422"/>
      <c r="AF321" s="422"/>
      <c r="AG321" s="422"/>
      <c r="AH321" s="422"/>
      <c r="AI321" s="422"/>
      <c r="AJ321" s="422"/>
      <c r="AK321" s="422"/>
      <c r="AL321" s="422"/>
      <c r="AM321" s="306"/>
    </row>
    <row r="322" spans="1:39" ht="30" hidden="1" outlineLevel="1">
      <c r="A322" s="517">
        <v>31</v>
      </c>
      <c r="B322" s="515"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3"/>
      <c r="Z322" s="409"/>
      <c r="AA322" s="409"/>
      <c r="AB322" s="409"/>
      <c r="AC322" s="409"/>
      <c r="AD322" s="409"/>
      <c r="AE322" s="409"/>
      <c r="AF322" s="409"/>
      <c r="AG322" s="414"/>
      <c r="AH322" s="414"/>
      <c r="AI322" s="414"/>
      <c r="AJ322" s="414"/>
      <c r="AK322" s="414"/>
      <c r="AL322" s="414"/>
      <c r="AM322" s="296">
        <f>SUM(Y322:AL322)</f>
        <v>0</v>
      </c>
    </row>
    <row r="323" spans="1:39"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0">
        <f>Y322</f>
        <v>0</v>
      </c>
      <c r="Z323" s="410">
        <f t="shared" ref="Z323" si="877">Z322</f>
        <v>0</v>
      </c>
      <c r="AA323" s="410">
        <f t="shared" ref="AA323" si="878">AA322</f>
        <v>0</v>
      </c>
      <c r="AB323" s="410">
        <f t="shared" ref="AB323" si="879">AB322</f>
        <v>0</v>
      </c>
      <c r="AC323" s="410">
        <f t="shared" ref="AC323" si="880">AC322</f>
        <v>0</v>
      </c>
      <c r="AD323" s="410">
        <f t="shared" ref="AD323" si="881">AD322</f>
        <v>0</v>
      </c>
      <c r="AE323" s="410">
        <f t="shared" ref="AE323" si="882">AE322</f>
        <v>0</v>
      </c>
      <c r="AF323" s="410">
        <f t="shared" ref="AF323" si="883">AF322</f>
        <v>0</v>
      </c>
      <c r="AG323" s="410">
        <f t="shared" ref="AG323" si="884">AG322</f>
        <v>0</v>
      </c>
      <c r="AH323" s="410">
        <f t="shared" ref="AH323" si="885">AH322</f>
        <v>0</v>
      </c>
      <c r="AI323" s="410">
        <f t="shared" ref="AI323" si="886">AI322</f>
        <v>0</v>
      </c>
      <c r="AJ323" s="410">
        <f t="shared" ref="AJ323" si="887">AJ322</f>
        <v>0</v>
      </c>
      <c r="AK323" s="410">
        <f t="shared" ref="AK323" si="888">AK322</f>
        <v>0</v>
      </c>
      <c r="AL323" s="410">
        <f t="shared" ref="AL323" si="889">AL322</f>
        <v>0</v>
      </c>
      <c r="AM323" s="306"/>
    </row>
    <row r="324" spans="1:39" hidden="1" outlineLevel="1">
      <c r="B324" s="515"/>
      <c r="C324" s="291"/>
      <c r="D324" s="758"/>
      <c r="E324" s="758"/>
      <c r="F324" s="758"/>
      <c r="G324" s="758"/>
      <c r="H324" s="758"/>
      <c r="I324" s="758"/>
      <c r="J324" s="758"/>
      <c r="K324" s="758"/>
      <c r="L324" s="758"/>
      <c r="M324" s="758"/>
      <c r="N324" s="758"/>
      <c r="O324" s="758"/>
      <c r="P324" s="758"/>
      <c r="Q324" s="758"/>
      <c r="R324" s="758"/>
      <c r="S324" s="758"/>
      <c r="T324" s="758"/>
      <c r="U324" s="758"/>
      <c r="V324" s="758"/>
      <c r="W324" s="758"/>
      <c r="X324" s="758"/>
      <c r="Y324" s="411"/>
      <c r="Z324" s="422"/>
      <c r="AA324" s="422"/>
      <c r="AB324" s="422"/>
      <c r="AC324" s="422"/>
      <c r="AD324" s="422"/>
      <c r="AE324" s="422"/>
      <c r="AF324" s="422"/>
      <c r="AG324" s="422"/>
      <c r="AH324" s="422"/>
      <c r="AI324" s="422"/>
      <c r="AJ324" s="422"/>
      <c r="AK324" s="422"/>
      <c r="AL324" s="422"/>
      <c r="AM324" s="306"/>
    </row>
    <row r="325" spans="1:39" ht="30" hidden="1" outlineLevel="1">
      <c r="A325" s="517">
        <v>32</v>
      </c>
      <c r="B325" s="515"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3"/>
      <c r="Z325" s="772">
        <v>0</v>
      </c>
      <c r="AA325" s="772">
        <v>1</v>
      </c>
      <c r="AB325" s="409"/>
      <c r="AC325" s="409"/>
      <c r="AD325" s="409"/>
      <c r="AE325" s="409"/>
      <c r="AF325" s="409"/>
      <c r="AG325" s="414"/>
      <c r="AH325" s="414"/>
      <c r="AI325" s="414"/>
      <c r="AJ325" s="414"/>
      <c r="AK325" s="414"/>
      <c r="AL325" s="414"/>
      <c r="AM325" s="296">
        <f>SUM(Y325:AL325)</f>
        <v>1</v>
      </c>
    </row>
    <row r="326" spans="1:39" hidden="1" outlineLevel="1">
      <c r="B326" s="294" t="s">
        <v>289</v>
      </c>
      <c r="C326" s="291" t="s">
        <v>163</v>
      </c>
      <c r="D326" s="295">
        <f>+'7.  Persistence Report'!AV192</f>
        <v>1671</v>
      </c>
      <c r="E326" s="295">
        <f>+'7.  Persistence Report'!AW192</f>
        <v>1671</v>
      </c>
      <c r="F326" s="295">
        <f>+'7.  Persistence Report'!AX192</f>
        <v>1671</v>
      </c>
      <c r="G326" s="295">
        <f>+'7.  Persistence Report'!AY192</f>
        <v>1671</v>
      </c>
      <c r="H326" s="295">
        <f>+'7.  Persistence Report'!AZ192</f>
        <v>1671</v>
      </c>
      <c r="I326" s="295">
        <f>+'7.  Persistence Report'!BA192</f>
        <v>835</v>
      </c>
      <c r="J326" s="295">
        <f>+'7.  Persistence Report'!BB192</f>
        <v>835</v>
      </c>
      <c r="K326" s="295">
        <f>+'7.  Persistence Report'!BC192</f>
        <v>835</v>
      </c>
      <c r="L326" s="295">
        <f>+'7.  Persistence Report'!BD192</f>
        <v>835</v>
      </c>
      <c r="M326" s="295">
        <f>+'7.  Persistence Report'!BE192</f>
        <v>835</v>
      </c>
      <c r="N326" s="295">
        <f>N325</f>
        <v>12</v>
      </c>
      <c r="O326" s="295">
        <f>+'7.  Persistence Report'!Q192</f>
        <v>0</v>
      </c>
      <c r="P326" s="295">
        <f>+'7.  Persistence Report'!R192</f>
        <v>0</v>
      </c>
      <c r="Q326" s="295">
        <f>+'7.  Persistence Report'!S192</f>
        <v>0</v>
      </c>
      <c r="R326" s="295">
        <f>+'7.  Persistence Report'!T192</f>
        <v>0</v>
      </c>
      <c r="S326" s="295">
        <f>+'7.  Persistence Report'!U192</f>
        <v>0</v>
      </c>
      <c r="T326" s="295">
        <f>+'7.  Persistence Report'!V192</f>
        <v>0</v>
      </c>
      <c r="U326" s="295">
        <f>+'7.  Persistence Report'!W192</f>
        <v>0</v>
      </c>
      <c r="V326" s="295">
        <f>+'7.  Persistence Report'!X192</f>
        <v>0</v>
      </c>
      <c r="W326" s="295">
        <f>+'7.  Persistence Report'!Y192</f>
        <v>0</v>
      </c>
      <c r="X326" s="295">
        <f>+'7.  Persistence Report'!Z192</f>
        <v>0</v>
      </c>
      <c r="Y326" s="410">
        <f>Y325</f>
        <v>0</v>
      </c>
      <c r="Z326" s="410">
        <f t="shared" ref="Z326" si="890">Z325</f>
        <v>0</v>
      </c>
      <c r="AA326" s="410">
        <f t="shared" ref="AA326" si="891">AA325</f>
        <v>1</v>
      </c>
      <c r="AB326" s="410">
        <f t="shared" ref="AB326" si="892">AB325</f>
        <v>0</v>
      </c>
      <c r="AC326" s="410">
        <f t="shared" ref="AC326" si="893">AC325</f>
        <v>0</v>
      </c>
      <c r="AD326" s="410">
        <f t="shared" ref="AD326" si="894">AD325</f>
        <v>0</v>
      </c>
      <c r="AE326" s="410">
        <f t="shared" ref="AE326" si="895">AE325</f>
        <v>0</v>
      </c>
      <c r="AF326" s="410">
        <f t="shared" ref="AF326" si="896">AF325</f>
        <v>0</v>
      </c>
      <c r="AG326" s="410">
        <f t="shared" ref="AG326" si="897">AG325</f>
        <v>0</v>
      </c>
      <c r="AH326" s="410">
        <f t="shared" ref="AH326" si="898">AH325</f>
        <v>0</v>
      </c>
      <c r="AI326" s="410">
        <f t="shared" ref="AI326" si="899">AI325</f>
        <v>0</v>
      </c>
      <c r="AJ326" s="410">
        <f t="shared" ref="AJ326" si="900">AJ325</f>
        <v>0</v>
      </c>
      <c r="AK326" s="410">
        <f t="shared" ref="AK326" si="901">AK325</f>
        <v>0</v>
      </c>
      <c r="AL326" s="410">
        <f t="shared" ref="AL326" si="902">AL325</f>
        <v>0</v>
      </c>
      <c r="AM326" s="306"/>
    </row>
    <row r="327" spans="1:39" hidden="1" outlineLevel="1">
      <c r="B327" s="515"/>
      <c r="C327" s="291"/>
      <c r="D327" s="758"/>
      <c r="E327" s="758"/>
      <c r="F327" s="758"/>
      <c r="G327" s="758"/>
      <c r="H327" s="758"/>
      <c r="I327" s="758"/>
      <c r="J327" s="758"/>
      <c r="K327" s="758"/>
      <c r="L327" s="758"/>
      <c r="M327" s="758"/>
      <c r="N327" s="758"/>
      <c r="O327" s="758"/>
      <c r="P327" s="758"/>
      <c r="Q327" s="758"/>
      <c r="R327" s="758"/>
      <c r="S327" s="758"/>
      <c r="T327" s="758"/>
      <c r="U327" s="758"/>
      <c r="V327" s="758"/>
      <c r="W327" s="758"/>
      <c r="X327" s="758"/>
      <c r="Y327" s="411"/>
      <c r="Z327" s="422"/>
      <c r="AA327" s="422"/>
      <c r="AB327" s="422"/>
      <c r="AC327" s="422"/>
      <c r="AD327" s="422"/>
      <c r="AE327" s="422"/>
      <c r="AF327" s="422"/>
      <c r="AG327" s="422"/>
      <c r="AH327" s="422"/>
      <c r="AI327" s="422"/>
      <c r="AJ327" s="422"/>
      <c r="AK327" s="422"/>
      <c r="AL327" s="422"/>
      <c r="AM327" s="306"/>
    </row>
    <row r="328" spans="1:39" ht="15.75" hidden="1" outlineLevel="1">
      <c r="B328" s="288" t="s">
        <v>501</v>
      </c>
      <c r="C328" s="291"/>
      <c r="D328" s="758"/>
      <c r="E328" s="758"/>
      <c r="F328" s="758"/>
      <c r="G328" s="758"/>
      <c r="H328" s="758"/>
      <c r="I328" s="758"/>
      <c r="J328" s="758"/>
      <c r="K328" s="758"/>
      <c r="L328" s="758"/>
      <c r="M328" s="758"/>
      <c r="N328" s="758"/>
      <c r="O328" s="758"/>
      <c r="P328" s="758"/>
      <c r="Q328" s="758"/>
      <c r="R328" s="758"/>
      <c r="S328" s="758"/>
      <c r="T328" s="758"/>
      <c r="U328" s="758"/>
      <c r="V328" s="758"/>
      <c r="W328" s="758"/>
      <c r="X328" s="758"/>
      <c r="Y328" s="411"/>
      <c r="Z328" s="422"/>
      <c r="AA328" s="422"/>
      <c r="AB328" s="422"/>
      <c r="AC328" s="422"/>
      <c r="AD328" s="422"/>
      <c r="AE328" s="422"/>
      <c r="AF328" s="422"/>
      <c r="AG328" s="422"/>
      <c r="AH328" s="422"/>
      <c r="AI328" s="422"/>
      <c r="AJ328" s="422"/>
      <c r="AK328" s="422"/>
      <c r="AL328" s="422"/>
      <c r="AM328" s="306"/>
    </row>
    <row r="329" spans="1:39" ht="30" hidden="1" outlineLevel="1">
      <c r="A329" s="517">
        <v>33</v>
      </c>
      <c r="B329" s="515"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3"/>
      <c r="Z329" s="409"/>
      <c r="AA329" s="409"/>
      <c r="AB329" s="409"/>
      <c r="AC329" s="409"/>
      <c r="AD329" s="409"/>
      <c r="AE329" s="409"/>
      <c r="AF329" s="409"/>
      <c r="AG329" s="414"/>
      <c r="AH329" s="414"/>
      <c r="AI329" s="414"/>
      <c r="AJ329" s="414"/>
      <c r="AK329" s="414"/>
      <c r="AL329" s="414"/>
      <c r="AM329" s="296">
        <f>SUM(Y329:AL329)</f>
        <v>0</v>
      </c>
    </row>
    <row r="330" spans="1:39"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0">
        <f>Y329</f>
        <v>0</v>
      </c>
      <c r="Z330" s="410">
        <f t="shared" ref="Z330" si="903">Z329</f>
        <v>0</v>
      </c>
      <c r="AA330" s="410">
        <f t="shared" ref="AA330" si="904">AA329</f>
        <v>0</v>
      </c>
      <c r="AB330" s="410">
        <f t="shared" ref="AB330" si="905">AB329</f>
        <v>0</v>
      </c>
      <c r="AC330" s="410">
        <f t="shared" ref="AC330" si="906">AC329</f>
        <v>0</v>
      </c>
      <c r="AD330" s="410">
        <f t="shared" ref="AD330" si="907">AD329</f>
        <v>0</v>
      </c>
      <c r="AE330" s="410">
        <f t="shared" ref="AE330" si="908">AE329</f>
        <v>0</v>
      </c>
      <c r="AF330" s="410">
        <f t="shared" ref="AF330" si="909">AF329</f>
        <v>0</v>
      </c>
      <c r="AG330" s="410">
        <f t="shared" ref="AG330" si="910">AG329</f>
        <v>0</v>
      </c>
      <c r="AH330" s="410">
        <f t="shared" ref="AH330" si="911">AH329</f>
        <v>0</v>
      </c>
      <c r="AI330" s="410">
        <f t="shared" ref="AI330" si="912">AI329</f>
        <v>0</v>
      </c>
      <c r="AJ330" s="410">
        <f t="shared" ref="AJ330" si="913">AJ329</f>
        <v>0</v>
      </c>
      <c r="AK330" s="410">
        <f t="shared" ref="AK330" si="914">AK329</f>
        <v>0</v>
      </c>
      <c r="AL330" s="410">
        <f t="shared" ref="AL330" si="915">AL329</f>
        <v>0</v>
      </c>
      <c r="AM330" s="306"/>
    </row>
    <row r="331" spans="1:39" hidden="1" outlineLevel="1">
      <c r="B331" s="515"/>
      <c r="C331" s="291"/>
      <c r="D331" s="758"/>
      <c r="E331" s="758"/>
      <c r="F331" s="758"/>
      <c r="G331" s="758"/>
      <c r="H331" s="758"/>
      <c r="I331" s="758"/>
      <c r="J331" s="758"/>
      <c r="K331" s="758"/>
      <c r="L331" s="758"/>
      <c r="M331" s="758"/>
      <c r="N331" s="758"/>
      <c r="O331" s="758"/>
      <c r="P331" s="758"/>
      <c r="Q331" s="758"/>
      <c r="R331" s="758"/>
      <c r="S331" s="758"/>
      <c r="T331" s="758"/>
      <c r="U331" s="758"/>
      <c r="V331" s="758"/>
      <c r="W331" s="758"/>
      <c r="X331" s="758"/>
      <c r="Y331" s="411"/>
      <c r="Z331" s="422"/>
      <c r="AA331" s="422"/>
      <c r="AB331" s="422"/>
      <c r="AC331" s="422"/>
      <c r="AD331" s="422"/>
      <c r="AE331" s="422"/>
      <c r="AF331" s="422"/>
      <c r="AG331" s="422"/>
      <c r="AH331" s="422"/>
      <c r="AI331" s="422"/>
      <c r="AJ331" s="422"/>
      <c r="AK331" s="422"/>
      <c r="AL331" s="422"/>
      <c r="AM331" s="306"/>
    </row>
    <row r="332" spans="1:39" ht="30" hidden="1" outlineLevel="1">
      <c r="A332" s="517">
        <v>34</v>
      </c>
      <c r="B332" s="515"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3"/>
      <c r="Z332" s="409"/>
      <c r="AA332" s="409"/>
      <c r="AB332" s="409"/>
      <c r="AC332" s="409"/>
      <c r="AD332" s="409"/>
      <c r="AE332" s="409"/>
      <c r="AF332" s="409"/>
      <c r="AG332" s="414"/>
      <c r="AH332" s="414"/>
      <c r="AI332" s="414"/>
      <c r="AJ332" s="414"/>
      <c r="AK332" s="414"/>
      <c r="AL332" s="414"/>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0">
        <f>Y332</f>
        <v>0</v>
      </c>
      <c r="Z333" s="410">
        <f t="shared" ref="Z333" si="916">Z332</f>
        <v>0</v>
      </c>
      <c r="AA333" s="410">
        <f t="shared" ref="AA333" si="917">AA332</f>
        <v>0</v>
      </c>
      <c r="AB333" s="410">
        <f t="shared" ref="AB333" si="918">AB332</f>
        <v>0</v>
      </c>
      <c r="AC333" s="410">
        <f t="shared" ref="AC333" si="919">AC332</f>
        <v>0</v>
      </c>
      <c r="AD333" s="410">
        <f t="shared" ref="AD333" si="920">AD332</f>
        <v>0</v>
      </c>
      <c r="AE333" s="410">
        <f t="shared" ref="AE333" si="921">AE332</f>
        <v>0</v>
      </c>
      <c r="AF333" s="410">
        <f t="shared" ref="AF333" si="922">AF332</f>
        <v>0</v>
      </c>
      <c r="AG333" s="410">
        <f t="shared" ref="AG333" si="923">AG332</f>
        <v>0</v>
      </c>
      <c r="AH333" s="410">
        <f t="shared" ref="AH333" si="924">AH332</f>
        <v>0</v>
      </c>
      <c r="AI333" s="410">
        <f t="shared" ref="AI333" si="925">AI332</f>
        <v>0</v>
      </c>
      <c r="AJ333" s="410">
        <f t="shared" ref="AJ333" si="926">AJ332</f>
        <v>0</v>
      </c>
      <c r="AK333" s="410">
        <f t="shared" ref="AK333" si="927">AK332</f>
        <v>0</v>
      </c>
      <c r="AL333" s="410">
        <f t="shared" ref="AL333" si="928">AL332</f>
        <v>0</v>
      </c>
      <c r="AM333" s="306"/>
    </row>
    <row r="334" spans="1:39" hidden="1" outlineLevel="1">
      <c r="B334" s="515"/>
      <c r="C334" s="291"/>
      <c r="D334" s="758"/>
      <c r="E334" s="758"/>
      <c r="F334" s="758"/>
      <c r="G334" s="758"/>
      <c r="H334" s="758"/>
      <c r="I334" s="758"/>
      <c r="J334" s="758"/>
      <c r="K334" s="758"/>
      <c r="L334" s="758"/>
      <c r="M334" s="758"/>
      <c r="N334" s="758"/>
      <c r="O334" s="758"/>
      <c r="P334" s="758"/>
      <c r="Q334" s="758"/>
      <c r="R334" s="758"/>
      <c r="S334" s="758"/>
      <c r="T334" s="758"/>
      <c r="U334" s="758"/>
      <c r="V334" s="758"/>
      <c r="W334" s="758"/>
      <c r="X334" s="758"/>
      <c r="Y334" s="411"/>
      <c r="Z334" s="422"/>
      <c r="AA334" s="422"/>
      <c r="AB334" s="422"/>
      <c r="AC334" s="422"/>
      <c r="AD334" s="422"/>
      <c r="AE334" s="422"/>
      <c r="AF334" s="422"/>
      <c r="AG334" s="422"/>
      <c r="AH334" s="422"/>
      <c r="AI334" s="422"/>
      <c r="AJ334" s="422"/>
      <c r="AK334" s="422"/>
      <c r="AL334" s="422"/>
      <c r="AM334" s="306"/>
    </row>
    <row r="335" spans="1:39" ht="30" hidden="1" outlineLevel="1">
      <c r="A335" s="517">
        <v>35</v>
      </c>
      <c r="B335" s="515"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3"/>
      <c r="Z335" s="409"/>
      <c r="AA335" s="409"/>
      <c r="AB335" s="409"/>
      <c r="AC335" s="409"/>
      <c r="AD335" s="409"/>
      <c r="AE335" s="409"/>
      <c r="AF335" s="409"/>
      <c r="AG335" s="414"/>
      <c r="AH335" s="414"/>
      <c r="AI335" s="414"/>
      <c r="AJ335" s="414"/>
      <c r="AK335" s="414"/>
      <c r="AL335" s="414"/>
      <c r="AM335" s="296">
        <f>SUM(Y335:AL335)</f>
        <v>0</v>
      </c>
    </row>
    <row r="336" spans="1:39"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0">
        <f>Y335</f>
        <v>0</v>
      </c>
      <c r="Z336" s="410">
        <f t="shared" ref="Z336" si="929">Z335</f>
        <v>0</v>
      </c>
      <c r="AA336" s="410">
        <f t="shared" ref="AA336" si="930">AA335</f>
        <v>0</v>
      </c>
      <c r="AB336" s="410">
        <f t="shared" ref="AB336" si="931">AB335</f>
        <v>0</v>
      </c>
      <c r="AC336" s="410">
        <f t="shared" ref="AC336" si="932">AC335</f>
        <v>0</v>
      </c>
      <c r="AD336" s="410">
        <f t="shared" ref="AD336" si="933">AD335</f>
        <v>0</v>
      </c>
      <c r="AE336" s="410">
        <f t="shared" ref="AE336" si="934">AE335</f>
        <v>0</v>
      </c>
      <c r="AF336" s="410">
        <f t="shared" ref="AF336" si="935">AF335</f>
        <v>0</v>
      </c>
      <c r="AG336" s="410">
        <f t="shared" ref="AG336" si="936">AG335</f>
        <v>0</v>
      </c>
      <c r="AH336" s="410">
        <f t="shared" ref="AH336" si="937">AH335</f>
        <v>0</v>
      </c>
      <c r="AI336" s="410">
        <f t="shared" ref="AI336" si="938">AI335</f>
        <v>0</v>
      </c>
      <c r="AJ336" s="410">
        <f t="shared" ref="AJ336" si="939">AJ335</f>
        <v>0</v>
      </c>
      <c r="AK336" s="410">
        <f t="shared" ref="AK336" si="940">AK335</f>
        <v>0</v>
      </c>
      <c r="AL336" s="410">
        <f t="shared" ref="AL336" si="941">AL335</f>
        <v>0</v>
      </c>
      <c r="AM336" s="306"/>
    </row>
    <row r="337" spans="1:39" hidden="1" outlineLevel="1">
      <c r="B337" s="294"/>
      <c r="C337" s="291"/>
      <c r="D337" s="758"/>
      <c r="E337" s="758"/>
      <c r="F337" s="758"/>
      <c r="G337" s="758"/>
      <c r="H337" s="758"/>
      <c r="I337" s="758"/>
      <c r="J337" s="758"/>
      <c r="K337" s="758"/>
      <c r="L337" s="758"/>
      <c r="M337" s="758"/>
      <c r="N337" s="758"/>
      <c r="O337" s="758"/>
      <c r="P337" s="758"/>
      <c r="Q337" s="758"/>
      <c r="R337" s="758"/>
      <c r="S337" s="758"/>
      <c r="T337" s="758"/>
      <c r="U337" s="758"/>
      <c r="V337" s="758"/>
      <c r="W337" s="758"/>
      <c r="X337" s="758"/>
      <c r="Y337" s="411"/>
      <c r="Z337" s="422"/>
      <c r="AA337" s="422"/>
      <c r="AB337" s="422"/>
      <c r="AC337" s="422"/>
      <c r="AD337" s="422"/>
      <c r="AE337" s="422"/>
      <c r="AF337" s="422"/>
      <c r="AG337" s="422"/>
      <c r="AH337" s="422"/>
      <c r="AI337" s="422"/>
      <c r="AJ337" s="422"/>
      <c r="AK337" s="422"/>
      <c r="AL337" s="422"/>
      <c r="AM337" s="306"/>
    </row>
    <row r="338" spans="1:39" ht="15.75" hidden="1" outlineLevel="1">
      <c r="B338" s="288" t="s">
        <v>502</v>
      </c>
      <c r="C338" s="291"/>
      <c r="D338" s="758"/>
      <c r="E338" s="758"/>
      <c r="F338" s="758"/>
      <c r="G338" s="758"/>
      <c r="H338" s="758"/>
      <c r="I338" s="758"/>
      <c r="J338" s="758"/>
      <c r="K338" s="758"/>
      <c r="L338" s="758"/>
      <c r="M338" s="758"/>
      <c r="N338" s="758"/>
      <c r="O338" s="758"/>
      <c r="P338" s="758"/>
      <c r="Q338" s="758"/>
      <c r="R338" s="758"/>
      <c r="S338" s="758"/>
      <c r="T338" s="758"/>
      <c r="U338" s="758"/>
      <c r="V338" s="758"/>
      <c r="W338" s="758"/>
      <c r="X338" s="758"/>
      <c r="Y338" s="411"/>
      <c r="Z338" s="422"/>
      <c r="AA338" s="422"/>
      <c r="AB338" s="422"/>
      <c r="AC338" s="422"/>
      <c r="AD338" s="422"/>
      <c r="AE338" s="422"/>
      <c r="AF338" s="422"/>
      <c r="AG338" s="422"/>
      <c r="AH338" s="422"/>
      <c r="AI338" s="422"/>
      <c r="AJ338" s="422"/>
      <c r="AK338" s="422"/>
      <c r="AL338" s="422"/>
      <c r="AM338" s="306"/>
    </row>
    <row r="339" spans="1:39" ht="75" hidden="1" outlineLevel="1">
      <c r="A339" s="517">
        <v>36</v>
      </c>
      <c r="B339" s="515"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3"/>
      <c r="Z339" s="409"/>
      <c r="AA339" s="409"/>
      <c r="AB339" s="409"/>
      <c r="AC339" s="409"/>
      <c r="AD339" s="409"/>
      <c r="AE339" s="409"/>
      <c r="AF339" s="409"/>
      <c r="AG339" s="414"/>
      <c r="AH339" s="414"/>
      <c r="AI339" s="414"/>
      <c r="AJ339" s="414"/>
      <c r="AK339" s="414"/>
      <c r="AL339" s="414"/>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0">
        <f>Y339</f>
        <v>0</v>
      </c>
      <c r="Z340" s="410">
        <f t="shared" ref="Z340" si="942">Z339</f>
        <v>0</v>
      </c>
      <c r="AA340" s="410">
        <f t="shared" ref="AA340" si="943">AA339</f>
        <v>0</v>
      </c>
      <c r="AB340" s="410">
        <f t="shared" ref="AB340" si="944">AB339</f>
        <v>0</v>
      </c>
      <c r="AC340" s="410">
        <f t="shared" ref="AC340" si="945">AC339</f>
        <v>0</v>
      </c>
      <c r="AD340" s="410">
        <f t="shared" ref="AD340" si="946">AD339</f>
        <v>0</v>
      </c>
      <c r="AE340" s="410">
        <f t="shared" ref="AE340" si="947">AE339</f>
        <v>0</v>
      </c>
      <c r="AF340" s="410">
        <f t="shared" ref="AF340" si="948">AF339</f>
        <v>0</v>
      </c>
      <c r="AG340" s="410">
        <f t="shared" ref="AG340" si="949">AG339</f>
        <v>0</v>
      </c>
      <c r="AH340" s="410">
        <f t="shared" ref="AH340" si="950">AH339</f>
        <v>0</v>
      </c>
      <c r="AI340" s="410">
        <f t="shared" ref="AI340" si="951">AI339</f>
        <v>0</v>
      </c>
      <c r="AJ340" s="410">
        <f t="shared" ref="AJ340" si="952">AJ339</f>
        <v>0</v>
      </c>
      <c r="AK340" s="410">
        <f t="shared" ref="AK340" si="953">AK339</f>
        <v>0</v>
      </c>
      <c r="AL340" s="410">
        <f t="shared" ref="AL340" si="954">AL339</f>
        <v>0</v>
      </c>
      <c r="AM340" s="306"/>
    </row>
    <row r="341" spans="1:39" hidden="1" outlineLevel="1">
      <c r="B341" s="515"/>
      <c r="C341" s="291"/>
      <c r="D341" s="758"/>
      <c r="E341" s="758"/>
      <c r="F341" s="758"/>
      <c r="G341" s="758"/>
      <c r="H341" s="758"/>
      <c r="I341" s="758"/>
      <c r="J341" s="758"/>
      <c r="K341" s="758"/>
      <c r="L341" s="758"/>
      <c r="M341" s="758"/>
      <c r="N341" s="758"/>
      <c r="O341" s="758"/>
      <c r="P341" s="758"/>
      <c r="Q341" s="758"/>
      <c r="R341" s="758"/>
      <c r="S341" s="758"/>
      <c r="T341" s="758"/>
      <c r="U341" s="758"/>
      <c r="V341" s="758"/>
      <c r="W341" s="758"/>
      <c r="X341" s="758"/>
      <c r="Y341" s="411"/>
      <c r="Z341" s="422"/>
      <c r="AA341" s="422"/>
      <c r="AB341" s="422"/>
      <c r="AC341" s="422"/>
      <c r="AD341" s="422"/>
      <c r="AE341" s="422"/>
      <c r="AF341" s="422"/>
      <c r="AG341" s="422"/>
      <c r="AH341" s="422"/>
      <c r="AI341" s="422"/>
      <c r="AJ341" s="422"/>
      <c r="AK341" s="422"/>
      <c r="AL341" s="422"/>
      <c r="AM341" s="306"/>
    </row>
    <row r="342" spans="1:39" ht="30" hidden="1" outlineLevel="1">
      <c r="A342" s="517">
        <v>37</v>
      </c>
      <c r="B342" s="515"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3"/>
      <c r="Z342" s="409"/>
      <c r="AA342" s="409"/>
      <c r="AB342" s="409"/>
      <c r="AC342" s="409"/>
      <c r="AD342" s="409"/>
      <c r="AE342" s="409"/>
      <c r="AF342" s="409"/>
      <c r="AG342" s="414"/>
      <c r="AH342" s="414"/>
      <c r="AI342" s="414"/>
      <c r="AJ342" s="414"/>
      <c r="AK342" s="414"/>
      <c r="AL342" s="414"/>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0">
        <f>Y342</f>
        <v>0</v>
      </c>
      <c r="Z343" s="410">
        <f t="shared" ref="Z343" si="955">Z342</f>
        <v>0</v>
      </c>
      <c r="AA343" s="410">
        <f t="shared" ref="AA343" si="956">AA342</f>
        <v>0</v>
      </c>
      <c r="AB343" s="410">
        <f t="shared" ref="AB343" si="957">AB342</f>
        <v>0</v>
      </c>
      <c r="AC343" s="410">
        <f t="shared" ref="AC343" si="958">AC342</f>
        <v>0</v>
      </c>
      <c r="AD343" s="410">
        <f t="shared" ref="AD343" si="959">AD342</f>
        <v>0</v>
      </c>
      <c r="AE343" s="410">
        <f t="shared" ref="AE343" si="960">AE342</f>
        <v>0</v>
      </c>
      <c r="AF343" s="410">
        <f t="shared" ref="AF343" si="961">AF342</f>
        <v>0</v>
      </c>
      <c r="AG343" s="410">
        <f t="shared" ref="AG343" si="962">AG342</f>
        <v>0</v>
      </c>
      <c r="AH343" s="410">
        <f t="shared" ref="AH343" si="963">AH342</f>
        <v>0</v>
      </c>
      <c r="AI343" s="410">
        <f t="shared" ref="AI343" si="964">AI342</f>
        <v>0</v>
      </c>
      <c r="AJ343" s="410">
        <f t="shared" ref="AJ343" si="965">AJ342</f>
        <v>0</v>
      </c>
      <c r="AK343" s="410">
        <f t="shared" ref="AK343" si="966">AK342</f>
        <v>0</v>
      </c>
      <c r="AL343" s="410">
        <f t="shared" ref="AL343" si="967">AL342</f>
        <v>0</v>
      </c>
      <c r="AM343" s="306"/>
    </row>
    <row r="344" spans="1:39" hidden="1" outlineLevel="1">
      <c r="B344" s="515"/>
      <c r="C344" s="291"/>
      <c r="D344" s="758"/>
      <c r="E344" s="758"/>
      <c r="F344" s="758"/>
      <c r="G344" s="758"/>
      <c r="H344" s="758"/>
      <c r="I344" s="758"/>
      <c r="J344" s="758"/>
      <c r="K344" s="758"/>
      <c r="L344" s="758"/>
      <c r="M344" s="758"/>
      <c r="N344" s="758"/>
      <c r="O344" s="758"/>
      <c r="P344" s="758"/>
      <c r="Q344" s="758"/>
      <c r="R344" s="758"/>
      <c r="S344" s="758"/>
      <c r="T344" s="758"/>
      <c r="U344" s="758"/>
      <c r="V344" s="758"/>
      <c r="W344" s="758"/>
      <c r="X344" s="758"/>
      <c r="Y344" s="411"/>
      <c r="Z344" s="422"/>
      <c r="AA344" s="422"/>
      <c r="AB344" s="422"/>
      <c r="AC344" s="422"/>
      <c r="AD344" s="422"/>
      <c r="AE344" s="422"/>
      <c r="AF344" s="422"/>
      <c r="AG344" s="422"/>
      <c r="AH344" s="422"/>
      <c r="AI344" s="422"/>
      <c r="AJ344" s="422"/>
      <c r="AK344" s="422"/>
      <c r="AL344" s="422"/>
      <c r="AM344" s="306"/>
    </row>
    <row r="345" spans="1:39" ht="30" hidden="1" outlineLevel="1">
      <c r="A345" s="517">
        <v>38</v>
      </c>
      <c r="B345" s="515"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3"/>
      <c r="Z345" s="409"/>
      <c r="AA345" s="409"/>
      <c r="AB345" s="409"/>
      <c r="AC345" s="409"/>
      <c r="AD345" s="409"/>
      <c r="AE345" s="409"/>
      <c r="AF345" s="409"/>
      <c r="AG345" s="414"/>
      <c r="AH345" s="414"/>
      <c r="AI345" s="414"/>
      <c r="AJ345" s="414"/>
      <c r="AK345" s="414"/>
      <c r="AL345" s="414"/>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0">
        <f>Y345</f>
        <v>0</v>
      </c>
      <c r="Z346" s="410">
        <f t="shared" ref="Z346" si="968">Z345</f>
        <v>0</v>
      </c>
      <c r="AA346" s="410">
        <f t="shared" ref="AA346" si="969">AA345</f>
        <v>0</v>
      </c>
      <c r="AB346" s="410">
        <f t="shared" ref="AB346" si="970">AB345</f>
        <v>0</v>
      </c>
      <c r="AC346" s="410">
        <f t="shared" ref="AC346" si="971">AC345</f>
        <v>0</v>
      </c>
      <c r="AD346" s="410">
        <f t="shared" ref="AD346" si="972">AD345</f>
        <v>0</v>
      </c>
      <c r="AE346" s="410">
        <f t="shared" ref="AE346" si="973">AE345</f>
        <v>0</v>
      </c>
      <c r="AF346" s="410">
        <f t="shared" ref="AF346" si="974">AF345</f>
        <v>0</v>
      </c>
      <c r="AG346" s="410">
        <f t="shared" ref="AG346" si="975">AG345</f>
        <v>0</v>
      </c>
      <c r="AH346" s="410">
        <f t="shared" ref="AH346" si="976">AH345</f>
        <v>0</v>
      </c>
      <c r="AI346" s="410">
        <f t="shared" ref="AI346" si="977">AI345</f>
        <v>0</v>
      </c>
      <c r="AJ346" s="410">
        <f t="shared" ref="AJ346" si="978">AJ345</f>
        <v>0</v>
      </c>
      <c r="AK346" s="410">
        <f t="shared" ref="AK346" si="979">AK345</f>
        <v>0</v>
      </c>
      <c r="AL346" s="410">
        <f t="shared" ref="AL346" si="980">AL345</f>
        <v>0</v>
      </c>
      <c r="AM346" s="306"/>
    </row>
    <row r="347" spans="1:39" hidden="1" outlineLevel="1">
      <c r="B347" s="515"/>
      <c r="C347" s="291"/>
      <c r="D347" s="758"/>
      <c r="E347" s="758"/>
      <c r="F347" s="758"/>
      <c r="G347" s="758"/>
      <c r="H347" s="758"/>
      <c r="I347" s="758"/>
      <c r="J347" s="758"/>
      <c r="K347" s="758"/>
      <c r="L347" s="758"/>
      <c r="M347" s="758"/>
      <c r="N347" s="758"/>
      <c r="O347" s="758"/>
      <c r="P347" s="758"/>
      <c r="Q347" s="758"/>
      <c r="R347" s="758"/>
      <c r="S347" s="758"/>
      <c r="T347" s="758"/>
      <c r="U347" s="758"/>
      <c r="V347" s="758"/>
      <c r="W347" s="758"/>
      <c r="X347" s="758"/>
      <c r="Y347" s="411"/>
      <c r="Z347" s="422"/>
      <c r="AA347" s="422"/>
      <c r="AB347" s="422"/>
      <c r="AC347" s="422"/>
      <c r="AD347" s="422"/>
      <c r="AE347" s="422"/>
      <c r="AF347" s="422"/>
      <c r="AG347" s="422"/>
      <c r="AH347" s="422"/>
      <c r="AI347" s="422"/>
      <c r="AJ347" s="422"/>
      <c r="AK347" s="422"/>
      <c r="AL347" s="422"/>
      <c r="AM347" s="306"/>
    </row>
    <row r="348" spans="1:39" ht="30" hidden="1" outlineLevel="1">
      <c r="A348" s="517">
        <v>39</v>
      </c>
      <c r="B348" s="515"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3"/>
      <c r="Z348" s="409"/>
      <c r="AA348" s="409"/>
      <c r="AB348" s="409"/>
      <c r="AC348" s="409"/>
      <c r="AD348" s="409"/>
      <c r="AE348" s="409"/>
      <c r="AF348" s="409"/>
      <c r="AG348" s="414"/>
      <c r="AH348" s="414"/>
      <c r="AI348" s="414"/>
      <c r="AJ348" s="414"/>
      <c r="AK348" s="414"/>
      <c r="AL348" s="414"/>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0">
        <f>Y348</f>
        <v>0</v>
      </c>
      <c r="Z349" s="410">
        <f t="shared" ref="Z349" si="981">Z348</f>
        <v>0</v>
      </c>
      <c r="AA349" s="410">
        <f t="shared" ref="AA349" si="982">AA348</f>
        <v>0</v>
      </c>
      <c r="AB349" s="410">
        <f t="shared" ref="AB349" si="983">AB348</f>
        <v>0</v>
      </c>
      <c r="AC349" s="410">
        <f t="shared" ref="AC349" si="984">AC348</f>
        <v>0</v>
      </c>
      <c r="AD349" s="410">
        <f t="shared" ref="AD349" si="985">AD348</f>
        <v>0</v>
      </c>
      <c r="AE349" s="410">
        <f t="shared" ref="AE349" si="986">AE348</f>
        <v>0</v>
      </c>
      <c r="AF349" s="410">
        <f t="shared" ref="AF349" si="987">AF348</f>
        <v>0</v>
      </c>
      <c r="AG349" s="410">
        <f t="shared" ref="AG349" si="988">AG348</f>
        <v>0</v>
      </c>
      <c r="AH349" s="410">
        <f t="shared" ref="AH349" si="989">AH348</f>
        <v>0</v>
      </c>
      <c r="AI349" s="410">
        <f t="shared" ref="AI349" si="990">AI348</f>
        <v>0</v>
      </c>
      <c r="AJ349" s="410">
        <f t="shared" ref="AJ349" si="991">AJ348</f>
        <v>0</v>
      </c>
      <c r="AK349" s="410">
        <f t="shared" ref="AK349" si="992">AK348</f>
        <v>0</v>
      </c>
      <c r="AL349" s="410">
        <f t="shared" ref="AL349" si="993">AL348</f>
        <v>0</v>
      </c>
      <c r="AM349" s="306"/>
    </row>
    <row r="350" spans="1:39" hidden="1" outlineLevel="1">
      <c r="B350" s="515"/>
      <c r="C350" s="291"/>
      <c r="D350" s="758"/>
      <c r="E350" s="758"/>
      <c r="F350" s="758"/>
      <c r="G350" s="758"/>
      <c r="H350" s="758"/>
      <c r="I350" s="758"/>
      <c r="J350" s="758"/>
      <c r="K350" s="758"/>
      <c r="L350" s="758"/>
      <c r="M350" s="758"/>
      <c r="N350" s="758"/>
      <c r="O350" s="758"/>
      <c r="P350" s="758"/>
      <c r="Q350" s="758"/>
      <c r="R350" s="758"/>
      <c r="S350" s="758"/>
      <c r="T350" s="758"/>
      <c r="U350" s="758"/>
      <c r="V350" s="758"/>
      <c r="W350" s="758"/>
      <c r="X350" s="758"/>
      <c r="Y350" s="411"/>
      <c r="Z350" s="422"/>
      <c r="AA350" s="422"/>
      <c r="AB350" s="422"/>
      <c r="AC350" s="422"/>
      <c r="AD350" s="422"/>
      <c r="AE350" s="422"/>
      <c r="AF350" s="422"/>
      <c r="AG350" s="422"/>
      <c r="AH350" s="422"/>
      <c r="AI350" s="422"/>
      <c r="AJ350" s="422"/>
      <c r="AK350" s="422"/>
      <c r="AL350" s="422"/>
      <c r="AM350" s="306"/>
    </row>
    <row r="351" spans="1:39" ht="30" hidden="1" outlineLevel="1">
      <c r="A351" s="517">
        <v>40</v>
      </c>
      <c r="B351" s="515"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3"/>
      <c r="Z351" s="409"/>
      <c r="AA351" s="409"/>
      <c r="AB351" s="409"/>
      <c r="AC351" s="409"/>
      <c r="AD351" s="409"/>
      <c r="AE351" s="409"/>
      <c r="AF351" s="409"/>
      <c r="AG351" s="414"/>
      <c r="AH351" s="414"/>
      <c r="AI351" s="414"/>
      <c r="AJ351" s="414"/>
      <c r="AK351" s="414"/>
      <c r="AL351" s="414"/>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0">
        <f>Y351</f>
        <v>0</v>
      </c>
      <c r="Z352" s="410">
        <f t="shared" ref="Z352" si="994">Z351</f>
        <v>0</v>
      </c>
      <c r="AA352" s="410">
        <f t="shared" ref="AA352" si="995">AA351</f>
        <v>0</v>
      </c>
      <c r="AB352" s="410">
        <f t="shared" ref="AB352" si="996">AB351</f>
        <v>0</v>
      </c>
      <c r="AC352" s="410">
        <f t="shared" ref="AC352" si="997">AC351</f>
        <v>0</v>
      </c>
      <c r="AD352" s="410">
        <f t="shared" ref="AD352" si="998">AD351</f>
        <v>0</v>
      </c>
      <c r="AE352" s="410">
        <f t="shared" ref="AE352" si="999">AE351</f>
        <v>0</v>
      </c>
      <c r="AF352" s="410">
        <f t="shared" ref="AF352" si="1000">AF351</f>
        <v>0</v>
      </c>
      <c r="AG352" s="410">
        <f t="shared" ref="AG352" si="1001">AG351</f>
        <v>0</v>
      </c>
      <c r="AH352" s="410">
        <f t="shared" ref="AH352" si="1002">AH351</f>
        <v>0</v>
      </c>
      <c r="AI352" s="410">
        <f t="shared" ref="AI352" si="1003">AI351</f>
        <v>0</v>
      </c>
      <c r="AJ352" s="410">
        <f t="shared" ref="AJ352" si="1004">AJ351</f>
        <v>0</v>
      </c>
      <c r="AK352" s="410">
        <f t="shared" ref="AK352" si="1005">AK351</f>
        <v>0</v>
      </c>
      <c r="AL352" s="410">
        <f t="shared" ref="AL352" si="1006">AL351</f>
        <v>0</v>
      </c>
      <c r="AM352" s="306"/>
    </row>
    <row r="353" spans="1:39" hidden="1" outlineLevel="1">
      <c r="B353" s="515"/>
      <c r="C353" s="291"/>
      <c r="D353" s="758"/>
      <c r="E353" s="758"/>
      <c r="F353" s="758"/>
      <c r="G353" s="758"/>
      <c r="H353" s="758"/>
      <c r="I353" s="758"/>
      <c r="J353" s="758"/>
      <c r="K353" s="758"/>
      <c r="L353" s="758"/>
      <c r="M353" s="758"/>
      <c r="N353" s="758"/>
      <c r="O353" s="758"/>
      <c r="P353" s="758"/>
      <c r="Q353" s="758"/>
      <c r="R353" s="758"/>
      <c r="S353" s="758"/>
      <c r="T353" s="758"/>
      <c r="U353" s="758"/>
      <c r="V353" s="758"/>
      <c r="W353" s="758"/>
      <c r="X353" s="758"/>
      <c r="Y353" s="411"/>
      <c r="Z353" s="422"/>
      <c r="AA353" s="422"/>
      <c r="AB353" s="422"/>
      <c r="AC353" s="422"/>
      <c r="AD353" s="422"/>
      <c r="AE353" s="422"/>
      <c r="AF353" s="422"/>
      <c r="AG353" s="422"/>
      <c r="AH353" s="422"/>
      <c r="AI353" s="422"/>
      <c r="AJ353" s="422"/>
      <c r="AK353" s="422"/>
      <c r="AL353" s="422"/>
      <c r="AM353" s="306"/>
    </row>
    <row r="354" spans="1:39" ht="60" hidden="1" outlineLevel="1">
      <c r="A354" s="517">
        <v>41</v>
      </c>
      <c r="B354" s="515"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3"/>
      <c r="Z354" s="409"/>
      <c r="AA354" s="409"/>
      <c r="AB354" s="409"/>
      <c r="AC354" s="409"/>
      <c r="AD354" s="409"/>
      <c r="AE354" s="409"/>
      <c r="AF354" s="409"/>
      <c r="AG354" s="414"/>
      <c r="AH354" s="414"/>
      <c r="AI354" s="414"/>
      <c r="AJ354" s="414"/>
      <c r="AK354" s="414"/>
      <c r="AL354" s="414"/>
      <c r="AM354" s="296">
        <f>SUM(Y354:AL354)</f>
        <v>0</v>
      </c>
    </row>
    <row r="355" spans="1:39"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0">
        <f>Y354</f>
        <v>0</v>
      </c>
      <c r="Z355" s="410">
        <f t="shared" ref="Z355" si="1007">Z354</f>
        <v>0</v>
      </c>
      <c r="AA355" s="410">
        <f t="shared" ref="AA355" si="1008">AA354</f>
        <v>0</v>
      </c>
      <c r="AB355" s="410">
        <f t="shared" ref="AB355" si="1009">AB354</f>
        <v>0</v>
      </c>
      <c r="AC355" s="410">
        <f t="shared" ref="AC355" si="1010">AC354</f>
        <v>0</v>
      </c>
      <c r="AD355" s="410">
        <f t="shared" ref="AD355" si="1011">AD354</f>
        <v>0</v>
      </c>
      <c r="AE355" s="410">
        <f t="shared" ref="AE355" si="1012">AE354</f>
        <v>0</v>
      </c>
      <c r="AF355" s="410">
        <f t="shared" ref="AF355" si="1013">AF354</f>
        <v>0</v>
      </c>
      <c r="AG355" s="410">
        <f t="shared" ref="AG355" si="1014">AG354</f>
        <v>0</v>
      </c>
      <c r="AH355" s="410">
        <f t="shared" ref="AH355" si="1015">AH354</f>
        <v>0</v>
      </c>
      <c r="AI355" s="410">
        <f t="shared" ref="AI355" si="1016">AI354</f>
        <v>0</v>
      </c>
      <c r="AJ355" s="410">
        <f t="shared" ref="AJ355" si="1017">AJ354</f>
        <v>0</v>
      </c>
      <c r="AK355" s="410">
        <f t="shared" ref="AK355" si="1018">AK354</f>
        <v>0</v>
      </c>
      <c r="AL355" s="410">
        <f t="shared" ref="AL355" si="1019">AL354</f>
        <v>0</v>
      </c>
      <c r="AM355" s="306"/>
    </row>
    <row r="356" spans="1:39" hidden="1" outlineLevel="1">
      <c r="B356" s="515"/>
      <c r="C356" s="291"/>
      <c r="D356" s="758"/>
      <c r="E356" s="758"/>
      <c r="F356" s="758"/>
      <c r="G356" s="758"/>
      <c r="H356" s="758"/>
      <c r="I356" s="758"/>
      <c r="J356" s="758"/>
      <c r="K356" s="758"/>
      <c r="L356" s="758"/>
      <c r="M356" s="758"/>
      <c r="N356" s="758"/>
      <c r="O356" s="758"/>
      <c r="P356" s="758"/>
      <c r="Q356" s="758"/>
      <c r="R356" s="758"/>
      <c r="S356" s="758"/>
      <c r="T356" s="758"/>
      <c r="U356" s="758"/>
      <c r="V356" s="758"/>
      <c r="W356" s="758"/>
      <c r="X356" s="758"/>
      <c r="Y356" s="411"/>
      <c r="Z356" s="422"/>
      <c r="AA356" s="422"/>
      <c r="AB356" s="422"/>
      <c r="AC356" s="422"/>
      <c r="AD356" s="422"/>
      <c r="AE356" s="422"/>
      <c r="AF356" s="422"/>
      <c r="AG356" s="422"/>
      <c r="AH356" s="422"/>
      <c r="AI356" s="422"/>
      <c r="AJ356" s="422"/>
      <c r="AK356" s="422"/>
      <c r="AL356" s="422"/>
      <c r="AM356" s="306"/>
    </row>
    <row r="357" spans="1:39" ht="60" hidden="1" outlineLevel="1">
      <c r="A357" s="517">
        <v>42</v>
      </c>
      <c r="B357" s="515" t="s">
        <v>134</v>
      </c>
      <c r="C357" s="291" t="s">
        <v>25</v>
      </c>
      <c r="D357" s="295"/>
      <c r="E357" s="295"/>
      <c r="F357" s="295"/>
      <c r="G357" s="295"/>
      <c r="H357" s="295"/>
      <c r="I357" s="295"/>
      <c r="J357" s="295"/>
      <c r="K357" s="295"/>
      <c r="L357" s="295"/>
      <c r="M357" s="295"/>
      <c r="N357" s="758"/>
      <c r="O357" s="295"/>
      <c r="P357" s="295"/>
      <c r="Q357" s="295"/>
      <c r="R357" s="295"/>
      <c r="S357" s="295"/>
      <c r="T357" s="295"/>
      <c r="U357" s="295"/>
      <c r="V357" s="295"/>
      <c r="W357" s="295"/>
      <c r="X357" s="295"/>
      <c r="Y357" s="423"/>
      <c r="Z357" s="409"/>
      <c r="AA357" s="409"/>
      <c r="AB357" s="409"/>
      <c r="AC357" s="409"/>
      <c r="AD357" s="409"/>
      <c r="AE357" s="409"/>
      <c r="AF357" s="409"/>
      <c r="AG357" s="414"/>
      <c r="AH357" s="414"/>
      <c r="AI357" s="414"/>
      <c r="AJ357" s="414"/>
      <c r="AK357" s="414"/>
      <c r="AL357" s="414"/>
      <c r="AM357" s="296">
        <f>SUM(Y357:AL357)</f>
        <v>0</v>
      </c>
    </row>
    <row r="358" spans="1:39" hidden="1" outlineLevel="1">
      <c r="B358" s="294" t="s">
        <v>289</v>
      </c>
      <c r="C358" s="291" t="s">
        <v>163</v>
      </c>
      <c r="D358" s="295"/>
      <c r="E358" s="295"/>
      <c r="F358" s="295"/>
      <c r="G358" s="295"/>
      <c r="H358" s="295"/>
      <c r="I358" s="295"/>
      <c r="J358" s="295"/>
      <c r="K358" s="295"/>
      <c r="L358" s="295"/>
      <c r="M358" s="295"/>
      <c r="N358" s="759"/>
      <c r="O358" s="295"/>
      <c r="P358" s="295"/>
      <c r="Q358" s="295"/>
      <c r="R358" s="295"/>
      <c r="S358" s="295"/>
      <c r="T358" s="295"/>
      <c r="U358" s="295"/>
      <c r="V358" s="295"/>
      <c r="W358" s="295"/>
      <c r="X358" s="295"/>
      <c r="Y358" s="410">
        <f>Y357</f>
        <v>0</v>
      </c>
      <c r="Z358" s="410">
        <f t="shared" ref="Z358" si="1020">Z357</f>
        <v>0</v>
      </c>
      <c r="AA358" s="410">
        <f t="shared" ref="AA358" si="1021">AA357</f>
        <v>0</v>
      </c>
      <c r="AB358" s="410">
        <f t="shared" ref="AB358" si="1022">AB357</f>
        <v>0</v>
      </c>
      <c r="AC358" s="410">
        <f t="shared" ref="AC358" si="1023">AC357</f>
        <v>0</v>
      </c>
      <c r="AD358" s="410">
        <f t="shared" ref="AD358" si="1024">AD357</f>
        <v>0</v>
      </c>
      <c r="AE358" s="410">
        <f t="shared" ref="AE358" si="1025">AE357</f>
        <v>0</v>
      </c>
      <c r="AF358" s="410">
        <f t="shared" ref="AF358" si="1026">AF357</f>
        <v>0</v>
      </c>
      <c r="AG358" s="410">
        <f t="shared" ref="AG358" si="1027">AG357</f>
        <v>0</v>
      </c>
      <c r="AH358" s="410">
        <f t="shared" ref="AH358" si="1028">AH357</f>
        <v>0</v>
      </c>
      <c r="AI358" s="410">
        <f t="shared" ref="AI358" si="1029">AI357</f>
        <v>0</v>
      </c>
      <c r="AJ358" s="410">
        <f t="shared" ref="AJ358" si="1030">AJ357</f>
        <v>0</v>
      </c>
      <c r="AK358" s="410">
        <f t="shared" ref="AK358" si="1031">AK357</f>
        <v>0</v>
      </c>
      <c r="AL358" s="410">
        <f t="shared" ref="AL358" si="1032">AL357</f>
        <v>0</v>
      </c>
      <c r="AM358" s="306"/>
    </row>
    <row r="359" spans="1:39" hidden="1" outlineLevel="1">
      <c r="B359" s="515"/>
      <c r="C359" s="291"/>
      <c r="D359" s="758"/>
      <c r="E359" s="758"/>
      <c r="F359" s="758"/>
      <c r="G359" s="758"/>
      <c r="H359" s="758"/>
      <c r="I359" s="758"/>
      <c r="J359" s="758"/>
      <c r="K359" s="758"/>
      <c r="L359" s="758"/>
      <c r="M359" s="758"/>
      <c r="N359" s="758"/>
      <c r="O359" s="758"/>
      <c r="P359" s="758"/>
      <c r="Q359" s="758"/>
      <c r="R359" s="758"/>
      <c r="S359" s="758"/>
      <c r="T359" s="758"/>
      <c r="U359" s="758"/>
      <c r="V359" s="758"/>
      <c r="W359" s="758"/>
      <c r="X359" s="758"/>
      <c r="Y359" s="411"/>
      <c r="Z359" s="422"/>
      <c r="AA359" s="422"/>
      <c r="AB359" s="422"/>
      <c r="AC359" s="422"/>
      <c r="AD359" s="422"/>
      <c r="AE359" s="422"/>
      <c r="AF359" s="422"/>
      <c r="AG359" s="422"/>
      <c r="AH359" s="422"/>
      <c r="AI359" s="422"/>
      <c r="AJ359" s="422"/>
      <c r="AK359" s="422"/>
      <c r="AL359" s="422"/>
      <c r="AM359" s="306"/>
    </row>
    <row r="360" spans="1:39" ht="30" hidden="1" outlineLevel="1">
      <c r="A360" s="517">
        <v>43</v>
      </c>
      <c r="B360" s="515"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3"/>
      <c r="Z360" s="409"/>
      <c r="AA360" s="409"/>
      <c r="AB360" s="409"/>
      <c r="AC360" s="409"/>
      <c r="AD360" s="409"/>
      <c r="AE360" s="409"/>
      <c r="AF360" s="409"/>
      <c r="AG360" s="414"/>
      <c r="AH360" s="414"/>
      <c r="AI360" s="414"/>
      <c r="AJ360" s="414"/>
      <c r="AK360" s="414"/>
      <c r="AL360" s="414"/>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0">
        <f>Y360</f>
        <v>0</v>
      </c>
      <c r="Z361" s="410">
        <f t="shared" ref="Z361" si="1033">Z360</f>
        <v>0</v>
      </c>
      <c r="AA361" s="410">
        <f t="shared" ref="AA361" si="1034">AA360</f>
        <v>0</v>
      </c>
      <c r="AB361" s="410">
        <f t="shared" ref="AB361" si="1035">AB360</f>
        <v>0</v>
      </c>
      <c r="AC361" s="410">
        <f t="shared" ref="AC361" si="1036">AC360</f>
        <v>0</v>
      </c>
      <c r="AD361" s="410">
        <f t="shared" ref="AD361" si="1037">AD360</f>
        <v>0</v>
      </c>
      <c r="AE361" s="410">
        <f t="shared" ref="AE361" si="1038">AE360</f>
        <v>0</v>
      </c>
      <c r="AF361" s="410">
        <f t="shared" ref="AF361" si="1039">AF360</f>
        <v>0</v>
      </c>
      <c r="AG361" s="410">
        <f t="shared" ref="AG361" si="1040">AG360</f>
        <v>0</v>
      </c>
      <c r="AH361" s="410">
        <f t="shared" ref="AH361" si="1041">AH360</f>
        <v>0</v>
      </c>
      <c r="AI361" s="410">
        <f t="shared" ref="AI361" si="1042">AI360</f>
        <v>0</v>
      </c>
      <c r="AJ361" s="410">
        <f t="shared" ref="AJ361" si="1043">AJ360</f>
        <v>0</v>
      </c>
      <c r="AK361" s="410">
        <f t="shared" ref="AK361" si="1044">AK360</f>
        <v>0</v>
      </c>
      <c r="AL361" s="410">
        <f t="shared" ref="AL361" si="1045">AL360</f>
        <v>0</v>
      </c>
      <c r="AM361" s="306"/>
    </row>
    <row r="362" spans="1:39" hidden="1" outlineLevel="1">
      <c r="B362" s="515"/>
      <c r="C362" s="291"/>
      <c r="D362" s="758"/>
      <c r="E362" s="758"/>
      <c r="F362" s="758"/>
      <c r="G362" s="758"/>
      <c r="H362" s="758"/>
      <c r="I362" s="758"/>
      <c r="J362" s="758"/>
      <c r="K362" s="758"/>
      <c r="L362" s="758"/>
      <c r="M362" s="758"/>
      <c r="N362" s="758"/>
      <c r="O362" s="758"/>
      <c r="P362" s="758"/>
      <c r="Q362" s="758"/>
      <c r="R362" s="758"/>
      <c r="S362" s="758"/>
      <c r="T362" s="758"/>
      <c r="U362" s="758"/>
      <c r="V362" s="758"/>
      <c r="W362" s="758"/>
      <c r="X362" s="758"/>
      <c r="Y362" s="411"/>
      <c r="Z362" s="422"/>
      <c r="AA362" s="422"/>
      <c r="AB362" s="422"/>
      <c r="AC362" s="422"/>
      <c r="AD362" s="422"/>
      <c r="AE362" s="422"/>
      <c r="AF362" s="422"/>
      <c r="AG362" s="422"/>
      <c r="AH362" s="422"/>
      <c r="AI362" s="422"/>
      <c r="AJ362" s="422"/>
      <c r="AK362" s="422"/>
      <c r="AL362" s="422"/>
      <c r="AM362" s="306"/>
    </row>
    <row r="363" spans="1:39" ht="60" hidden="1" outlineLevel="1">
      <c r="A363" s="517">
        <v>44</v>
      </c>
      <c r="B363" s="515"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3"/>
      <c r="Z363" s="409"/>
      <c r="AA363" s="409"/>
      <c r="AB363" s="409"/>
      <c r="AC363" s="409"/>
      <c r="AD363" s="409"/>
      <c r="AE363" s="409"/>
      <c r="AF363" s="409"/>
      <c r="AG363" s="414"/>
      <c r="AH363" s="414"/>
      <c r="AI363" s="414"/>
      <c r="AJ363" s="414"/>
      <c r="AK363" s="414"/>
      <c r="AL363" s="414"/>
      <c r="AM363" s="296">
        <f>SUM(Y363:AL363)</f>
        <v>0</v>
      </c>
    </row>
    <row r="364" spans="1:39" hidden="1"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0">
        <f>Y363</f>
        <v>0</v>
      </c>
      <c r="Z364" s="410">
        <f t="shared" ref="Z364" si="1046">Z363</f>
        <v>0</v>
      </c>
      <c r="AA364" s="410">
        <f t="shared" ref="AA364" si="1047">AA363</f>
        <v>0</v>
      </c>
      <c r="AB364" s="410">
        <f t="shared" ref="AB364" si="1048">AB363</f>
        <v>0</v>
      </c>
      <c r="AC364" s="410">
        <f t="shared" ref="AC364" si="1049">AC363</f>
        <v>0</v>
      </c>
      <c r="AD364" s="410">
        <f t="shared" ref="AD364" si="1050">AD363</f>
        <v>0</v>
      </c>
      <c r="AE364" s="410">
        <f t="shared" ref="AE364" si="1051">AE363</f>
        <v>0</v>
      </c>
      <c r="AF364" s="410">
        <f t="shared" ref="AF364" si="1052">AF363</f>
        <v>0</v>
      </c>
      <c r="AG364" s="410">
        <f t="shared" ref="AG364" si="1053">AG363</f>
        <v>0</v>
      </c>
      <c r="AH364" s="410">
        <f t="shared" ref="AH364" si="1054">AH363</f>
        <v>0</v>
      </c>
      <c r="AI364" s="410">
        <f t="shared" ref="AI364" si="1055">AI363</f>
        <v>0</v>
      </c>
      <c r="AJ364" s="410">
        <f t="shared" ref="AJ364" si="1056">AJ363</f>
        <v>0</v>
      </c>
      <c r="AK364" s="410">
        <f t="shared" ref="AK364" si="1057">AK363</f>
        <v>0</v>
      </c>
      <c r="AL364" s="410">
        <f t="shared" ref="AL364" si="1058">AL363</f>
        <v>0</v>
      </c>
      <c r="AM364" s="306"/>
    </row>
    <row r="365" spans="1:39" hidden="1" outlineLevel="1">
      <c r="B365" s="515"/>
      <c r="C365" s="291"/>
      <c r="D365" s="758"/>
      <c r="E365" s="758"/>
      <c r="F365" s="758"/>
      <c r="G365" s="758"/>
      <c r="H365" s="758"/>
      <c r="I365" s="758"/>
      <c r="J365" s="758"/>
      <c r="K365" s="758"/>
      <c r="L365" s="758"/>
      <c r="M365" s="758"/>
      <c r="N365" s="758"/>
      <c r="O365" s="758"/>
      <c r="P365" s="758"/>
      <c r="Q365" s="758"/>
      <c r="R365" s="758"/>
      <c r="S365" s="758"/>
      <c r="T365" s="758"/>
      <c r="U365" s="758"/>
      <c r="V365" s="758"/>
      <c r="W365" s="758"/>
      <c r="X365" s="758"/>
      <c r="Y365" s="411"/>
      <c r="Z365" s="422"/>
      <c r="AA365" s="422"/>
      <c r="AB365" s="422"/>
      <c r="AC365" s="422"/>
      <c r="AD365" s="422"/>
      <c r="AE365" s="422"/>
      <c r="AF365" s="422"/>
      <c r="AG365" s="422"/>
      <c r="AH365" s="422"/>
      <c r="AI365" s="422"/>
      <c r="AJ365" s="422"/>
      <c r="AK365" s="422"/>
      <c r="AL365" s="422"/>
      <c r="AM365" s="306"/>
    </row>
    <row r="366" spans="1:39" ht="45" hidden="1" outlineLevel="1">
      <c r="A366" s="517">
        <v>45</v>
      </c>
      <c r="B366" s="515"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3"/>
      <c r="Z366" s="409"/>
      <c r="AA366" s="409"/>
      <c r="AB366" s="409"/>
      <c r="AC366" s="409"/>
      <c r="AD366" s="409"/>
      <c r="AE366" s="409"/>
      <c r="AF366" s="409"/>
      <c r="AG366" s="414"/>
      <c r="AH366" s="414"/>
      <c r="AI366" s="414"/>
      <c r="AJ366" s="414"/>
      <c r="AK366" s="414"/>
      <c r="AL366" s="414"/>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0">
        <f>Y366</f>
        <v>0</v>
      </c>
      <c r="Z367" s="410">
        <f t="shared" ref="Z367" si="1059">Z366</f>
        <v>0</v>
      </c>
      <c r="AA367" s="410">
        <f t="shared" ref="AA367" si="1060">AA366</f>
        <v>0</v>
      </c>
      <c r="AB367" s="410">
        <f t="shared" ref="AB367" si="1061">AB366</f>
        <v>0</v>
      </c>
      <c r="AC367" s="410">
        <f t="shared" ref="AC367" si="1062">AC366</f>
        <v>0</v>
      </c>
      <c r="AD367" s="410">
        <f t="shared" ref="AD367" si="1063">AD366</f>
        <v>0</v>
      </c>
      <c r="AE367" s="410">
        <f t="shared" ref="AE367" si="1064">AE366</f>
        <v>0</v>
      </c>
      <c r="AF367" s="410">
        <f t="shared" ref="AF367" si="1065">AF366</f>
        <v>0</v>
      </c>
      <c r="AG367" s="410">
        <f t="shared" ref="AG367" si="1066">AG366</f>
        <v>0</v>
      </c>
      <c r="AH367" s="410">
        <f t="shared" ref="AH367" si="1067">AH366</f>
        <v>0</v>
      </c>
      <c r="AI367" s="410">
        <f t="shared" ref="AI367" si="1068">AI366</f>
        <v>0</v>
      </c>
      <c r="AJ367" s="410">
        <f t="shared" ref="AJ367" si="1069">AJ366</f>
        <v>0</v>
      </c>
      <c r="AK367" s="410">
        <f t="shared" ref="AK367" si="1070">AK366</f>
        <v>0</v>
      </c>
      <c r="AL367" s="410">
        <f t="shared" ref="AL367" si="1071">AL366</f>
        <v>0</v>
      </c>
      <c r="AM367" s="306"/>
    </row>
    <row r="368" spans="1:39" hidden="1" outlineLevel="1">
      <c r="B368" s="515"/>
      <c r="C368" s="291"/>
      <c r="D368" s="758"/>
      <c r="E368" s="758"/>
      <c r="F368" s="758"/>
      <c r="G368" s="758"/>
      <c r="H368" s="758"/>
      <c r="I368" s="758"/>
      <c r="J368" s="758"/>
      <c r="K368" s="758"/>
      <c r="L368" s="758"/>
      <c r="M368" s="758"/>
      <c r="N368" s="758"/>
      <c r="O368" s="758"/>
      <c r="P368" s="758"/>
      <c r="Q368" s="758"/>
      <c r="R368" s="758"/>
      <c r="S368" s="758"/>
      <c r="T368" s="758"/>
      <c r="U368" s="758"/>
      <c r="V368" s="758"/>
      <c r="W368" s="758"/>
      <c r="X368" s="758"/>
      <c r="Y368" s="411"/>
      <c r="Z368" s="422"/>
      <c r="AA368" s="422"/>
      <c r="AB368" s="422"/>
      <c r="AC368" s="422"/>
      <c r="AD368" s="422"/>
      <c r="AE368" s="422"/>
      <c r="AF368" s="422"/>
      <c r="AG368" s="422"/>
      <c r="AH368" s="422"/>
      <c r="AI368" s="422"/>
      <c r="AJ368" s="422"/>
      <c r="AK368" s="422"/>
      <c r="AL368" s="422"/>
      <c r="AM368" s="306"/>
    </row>
    <row r="369" spans="1:42" ht="45" hidden="1" outlineLevel="1">
      <c r="A369" s="517">
        <v>46</v>
      </c>
      <c r="B369" s="515"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3"/>
      <c r="Z369" s="409"/>
      <c r="AA369" s="409"/>
      <c r="AB369" s="409"/>
      <c r="AC369" s="409"/>
      <c r="AD369" s="409"/>
      <c r="AE369" s="409"/>
      <c r="AF369" s="409"/>
      <c r="AG369" s="414"/>
      <c r="AH369" s="414"/>
      <c r="AI369" s="414"/>
      <c r="AJ369" s="414"/>
      <c r="AK369" s="414"/>
      <c r="AL369" s="414"/>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0">
        <f>Y369</f>
        <v>0</v>
      </c>
      <c r="Z370" s="410">
        <f t="shared" ref="Z370" si="1072">Z369</f>
        <v>0</v>
      </c>
      <c r="AA370" s="410">
        <f t="shared" ref="AA370" si="1073">AA369</f>
        <v>0</v>
      </c>
      <c r="AB370" s="410">
        <f t="shared" ref="AB370" si="1074">AB369</f>
        <v>0</v>
      </c>
      <c r="AC370" s="410">
        <f t="shared" ref="AC370" si="1075">AC369</f>
        <v>0</v>
      </c>
      <c r="AD370" s="410">
        <f t="shared" ref="AD370" si="1076">AD369</f>
        <v>0</v>
      </c>
      <c r="AE370" s="410">
        <f t="shared" ref="AE370" si="1077">AE369</f>
        <v>0</v>
      </c>
      <c r="AF370" s="410">
        <f t="shared" ref="AF370" si="1078">AF369</f>
        <v>0</v>
      </c>
      <c r="AG370" s="410">
        <f t="shared" ref="AG370" si="1079">AG369</f>
        <v>0</v>
      </c>
      <c r="AH370" s="410">
        <f t="shared" ref="AH370" si="1080">AH369</f>
        <v>0</v>
      </c>
      <c r="AI370" s="410">
        <f t="shared" ref="AI370" si="1081">AI369</f>
        <v>0</v>
      </c>
      <c r="AJ370" s="410">
        <f t="shared" ref="AJ370" si="1082">AJ369</f>
        <v>0</v>
      </c>
      <c r="AK370" s="410">
        <f t="shared" ref="AK370" si="1083">AK369</f>
        <v>0</v>
      </c>
      <c r="AL370" s="410">
        <f t="shared" ref="AL370" si="1084">AL369</f>
        <v>0</v>
      </c>
      <c r="AM370" s="306"/>
    </row>
    <row r="371" spans="1:42" hidden="1" outlineLevel="1">
      <c r="B371" s="515"/>
      <c r="C371" s="291"/>
      <c r="D371" s="758"/>
      <c r="E371" s="758"/>
      <c r="F371" s="758"/>
      <c r="G371" s="758"/>
      <c r="H371" s="758"/>
      <c r="I371" s="758"/>
      <c r="J371" s="758"/>
      <c r="K371" s="758"/>
      <c r="L371" s="758"/>
      <c r="M371" s="758"/>
      <c r="N371" s="758"/>
      <c r="O371" s="758"/>
      <c r="P371" s="758"/>
      <c r="Q371" s="758"/>
      <c r="R371" s="758"/>
      <c r="S371" s="758"/>
      <c r="T371" s="758"/>
      <c r="U371" s="758"/>
      <c r="V371" s="758"/>
      <c r="W371" s="758"/>
      <c r="X371" s="758"/>
      <c r="Y371" s="411"/>
      <c r="Z371" s="422"/>
      <c r="AA371" s="422"/>
      <c r="AB371" s="422"/>
      <c r="AC371" s="422"/>
      <c r="AD371" s="422"/>
      <c r="AE371" s="422"/>
      <c r="AF371" s="422"/>
      <c r="AG371" s="422"/>
      <c r="AH371" s="422"/>
      <c r="AI371" s="422"/>
      <c r="AJ371" s="422"/>
      <c r="AK371" s="422"/>
      <c r="AL371" s="422"/>
      <c r="AM371" s="306"/>
    </row>
    <row r="372" spans="1:42" ht="45" hidden="1" outlineLevel="1">
      <c r="A372" s="517">
        <v>47</v>
      </c>
      <c r="B372" s="515"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3"/>
      <c r="Z372" s="409"/>
      <c r="AA372" s="409"/>
      <c r="AB372" s="409"/>
      <c r="AC372" s="409"/>
      <c r="AD372" s="409"/>
      <c r="AE372" s="409"/>
      <c r="AF372" s="409"/>
      <c r="AG372" s="414"/>
      <c r="AH372" s="414"/>
      <c r="AI372" s="414"/>
      <c r="AJ372" s="414"/>
      <c r="AK372" s="414"/>
      <c r="AL372" s="414"/>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0">
        <f>Y372</f>
        <v>0</v>
      </c>
      <c r="Z373" s="410">
        <f t="shared" ref="Z373" si="1085">Z372</f>
        <v>0</v>
      </c>
      <c r="AA373" s="410">
        <f t="shared" ref="AA373" si="1086">AA372</f>
        <v>0</v>
      </c>
      <c r="AB373" s="410">
        <f t="shared" ref="AB373" si="1087">AB372</f>
        <v>0</v>
      </c>
      <c r="AC373" s="410">
        <f t="shared" ref="AC373" si="1088">AC372</f>
        <v>0</v>
      </c>
      <c r="AD373" s="410">
        <f t="shared" ref="AD373" si="1089">AD372</f>
        <v>0</v>
      </c>
      <c r="AE373" s="410">
        <f t="shared" ref="AE373" si="1090">AE372</f>
        <v>0</v>
      </c>
      <c r="AF373" s="410">
        <f t="shared" ref="AF373" si="1091">AF372</f>
        <v>0</v>
      </c>
      <c r="AG373" s="410">
        <f t="shared" ref="AG373" si="1092">AG372</f>
        <v>0</v>
      </c>
      <c r="AH373" s="410">
        <f t="shared" ref="AH373" si="1093">AH372</f>
        <v>0</v>
      </c>
      <c r="AI373" s="410">
        <f t="shared" ref="AI373" si="1094">AI372</f>
        <v>0</v>
      </c>
      <c r="AJ373" s="410">
        <f t="shared" ref="AJ373" si="1095">AJ372</f>
        <v>0</v>
      </c>
      <c r="AK373" s="410">
        <f t="shared" ref="AK373" si="1096">AK372</f>
        <v>0</v>
      </c>
      <c r="AL373" s="410">
        <f t="shared" ref="AL373" si="1097">AL372</f>
        <v>0</v>
      </c>
      <c r="AM373" s="306"/>
    </row>
    <row r="374" spans="1:42" hidden="1" outlineLevel="1">
      <c r="B374" s="515"/>
      <c r="C374" s="291"/>
      <c r="D374" s="758"/>
      <c r="E374" s="758"/>
      <c r="F374" s="758"/>
      <c r="G374" s="758"/>
      <c r="H374" s="758"/>
      <c r="I374" s="758"/>
      <c r="J374" s="758"/>
      <c r="K374" s="758"/>
      <c r="L374" s="758"/>
      <c r="M374" s="758"/>
      <c r="N374" s="758"/>
      <c r="O374" s="758"/>
      <c r="P374" s="758"/>
      <c r="Q374" s="758"/>
      <c r="R374" s="758"/>
      <c r="S374" s="758"/>
      <c r="T374" s="758"/>
      <c r="U374" s="758"/>
      <c r="V374" s="758"/>
      <c r="W374" s="758"/>
      <c r="X374" s="758"/>
      <c r="Y374" s="411"/>
      <c r="Z374" s="422"/>
      <c r="AA374" s="422"/>
      <c r="AB374" s="422"/>
      <c r="AC374" s="422"/>
      <c r="AD374" s="422"/>
      <c r="AE374" s="422"/>
      <c r="AF374" s="422"/>
      <c r="AG374" s="422"/>
      <c r="AH374" s="422"/>
      <c r="AI374" s="422"/>
      <c r="AJ374" s="422"/>
      <c r="AK374" s="422"/>
      <c r="AL374" s="422"/>
      <c r="AM374" s="306"/>
    </row>
    <row r="375" spans="1:42" ht="45" hidden="1" outlineLevel="1">
      <c r="A375" s="517">
        <v>48</v>
      </c>
      <c r="B375" s="515"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3"/>
      <c r="Z375" s="409"/>
      <c r="AA375" s="409"/>
      <c r="AB375" s="409"/>
      <c r="AC375" s="409"/>
      <c r="AD375" s="409"/>
      <c r="AE375" s="409"/>
      <c r="AF375" s="409"/>
      <c r="AG375" s="414"/>
      <c r="AH375" s="414"/>
      <c r="AI375" s="414"/>
      <c r="AJ375" s="414"/>
      <c r="AK375" s="414"/>
      <c r="AL375" s="414"/>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0">
        <f>Y375</f>
        <v>0</v>
      </c>
      <c r="Z376" s="410">
        <f t="shared" ref="Z376" si="1098">Z375</f>
        <v>0</v>
      </c>
      <c r="AA376" s="410">
        <f t="shared" ref="AA376" si="1099">AA375</f>
        <v>0</v>
      </c>
      <c r="AB376" s="410">
        <f t="shared" ref="AB376" si="1100">AB375</f>
        <v>0</v>
      </c>
      <c r="AC376" s="410">
        <f t="shared" ref="AC376" si="1101">AC375</f>
        <v>0</v>
      </c>
      <c r="AD376" s="410">
        <f t="shared" ref="AD376" si="1102">AD375</f>
        <v>0</v>
      </c>
      <c r="AE376" s="410">
        <f t="shared" ref="AE376" si="1103">AE375</f>
        <v>0</v>
      </c>
      <c r="AF376" s="410">
        <f t="shared" ref="AF376" si="1104">AF375</f>
        <v>0</v>
      </c>
      <c r="AG376" s="410">
        <f t="shared" ref="AG376" si="1105">AG375</f>
        <v>0</v>
      </c>
      <c r="AH376" s="410">
        <f t="shared" ref="AH376" si="1106">AH375</f>
        <v>0</v>
      </c>
      <c r="AI376" s="410">
        <f t="shared" ref="AI376" si="1107">AI375</f>
        <v>0</v>
      </c>
      <c r="AJ376" s="410">
        <f t="shared" ref="AJ376" si="1108">AJ375</f>
        <v>0</v>
      </c>
      <c r="AK376" s="410">
        <f t="shared" ref="AK376" si="1109">AK375</f>
        <v>0</v>
      </c>
      <c r="AL376" s="410">
        <f t="shared" ref="AL376" si="1110">AL375</f>
        <v>0</v>
      </c>
      <c r="AM376" s="306"/>
    </row>
    <row r="377" spans="1:42" hidden="1" outlineLevel="1">
      <c r="B377" s="515"/>
      <c r="C377" s="291"/>
      <c r="D377" s="758"/>
      <c r="E377" s="758"/>
      <c r="F377" s="758"/>
      <c r="G377" s="758"/>
      <c r="H377" s="758"/>
      <c r="I377" s="758"/>
      <c r="J377" s="758"/>
      <c r="K377" s="758"/>
      <c r="L377" s="758"/>
      <c r="M377" s="758"/>
      <c r="N377" s="758"/>
      <c r="O377" s="758"/>
      <c r="P377" s="758"/>
      <c r="Q377" s="758"/>
      <c r="R377" s="758"/>
      <c r="S377" s="758"/>
      <c r="T377" s="758"/>
      <c r="U377" s="758"/>
      <c r="V377" s="758"/>
      <c r="W377" s="758"/>
      <c r="X377" s="758"/>
      <c r="Y377" s="411"/>
      <c r="Z377" s="422"/>
      <c r="AA377" s="422"/>
      <c r="AB377" s="422"/>
      <c r="AC377" s="422"/>
      <c r="AD377" s="422"/>
      <c r="AE377" s="422"/>
      <c r="AF377" s="422"/>
      <c r="AG377" s="422"/>
      <c r="AH377" s="422"/>
      <c r="AI377" s="422"/>
      <c r="AJ377" s="422"/>
      <c r="AK377" s="422"/>
      <c r="AL377" s="422"/>
      <c r="AM377" s="306"/>
    </row>
    <row r="378" spans="1:42" ht="45" hidden="1" outlineLevel="1">
      <c r="A378" s="517">
        <v>49</v>
      </c>
      <c r="B378" s="515"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3"/>
      <c r="Z378" s="409"/>
      <c r="AA378" s="409"/>
      <c r="AB378" s="409"/>
      <c r="AC378" s="409"/>
      <c r="AD378" s="409"/>
      <c r="AE378" s="409"/>
      <c r="AF378" s="409"/>
      <c r="AG378" s="414"/>
      <c r="AH378" s="414"/>
      <c r="AI378" s="414"/>
      <c r="AJ378" s="414"/>
      <c r="AK378" s="414"/>
      <c r="AL378" s="414"/>
      <c r="AM378" s="296">
        <f>SUM(Y378:AL378)</f>
        <v>0</v>
      </c>
    </row>
    <row r="379" spans="1:42"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0">
        <f>Y378</f>
        <v>0</v>
      </c>
      <c r="Z379" s="410">
        <f t="shared" ref="Z379" si="1111">Z378</f>
        <v>0</v>
      </c>
      <c r="AA379" s="410">
        <f t="shared" ref="AA379" si="1112">AA378</f>
        <v>0</v>
      </c>
      <c r="AB379" s="410">
        <f t="shared" ref="AB379" si="1113">AB378</f>
        <v>0</v>
      </c>
      <c r="AC379" s="410">
        <f t="shared" ref="AC379" si="1114">AC378</f>
        <v>0</v>
      </c>
      <c r="AD379" s="410">
        <f t="shared" ref="AD379" si="1115">AD378</f>
        <v>0</v>
      </c>
      <c r="AE379" s="410">
        <f t="shared" ref="AE379" si="1116">AE378</f>
        <v>0</v>
      </c>
      <c r="AF379" s="410">
        <f t="shared" ref="AF379" si="1117">AF378</f>
        <v>0</v>
      </c>
      <c r="AG379" s="410">
        <f t="shared" ref="AG379" si="1118">AG378</f>
        <v>0</v>
      </c>
      <c r="AH379" s="410">
        <f t="shared" ref="AH379" si="1119">AH378</f>
        <v>0</v>
      </c>
      <c r="AI379" s="410">
        <f t="shared" ref="AI379" si="1120">AI378</f>
        <v>0</v>
      </c>
      <c r="AJ379" s="410">
        <f t="shared" ref="AJ379" si="1121">AJ378</f>
        <v>0</v>
      </c>
      <c r="AK379" s="410">
        <f t="shared" ref="AK379" si="1122">AK378</f>
        <v>0</v>
      </c>
      <c r="AL379" s="410">
        <f t="shared" ref="AL379" si="1123">AL378</f>
        <v>0</v>
      </c>
      <c r="AM379" s="306"/>
    </row>
    <row r="380" spans="1:42" hidden="1" outlineLevel="1">
      <c r="B380" s="434"/>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75" collapsed="1">
      <c r="B381" s="326" t="s">
        <v>274</v>
      </c>
      <c r="C381" s="328"/>
      <c r="D381" s="328">
        <f>SUM(D221:D379)</f>
        <v>21615310</v>
      </c>
      <c r="E381" s="328"/>
      <c r="F381" s="328"/>
      <c r="G381" s="328"/>
      <c r="H381" s="328"/>
      <c r="I381" s="328"/>
      <c r="J381" s="328"/>
      <c r="K381" s="328"/>
      <c r="L381" s="328"/>
      <c r="M381" s="328"/>
      <c r="N381" s="328"/>
      <c r="O381" s="328">
        <f>SUM(O221:O379)</f>
        <v>3592</v>
      </c>
      <c r="P381" s="328"/>
      <c r="Q381" s="328"/>
      <c r="R381" s="328"/>
      <c r="S381" s="328"/>
      <c r="T381" s="328"/>
      <c r="U381" s="328"/>
      <c r="V381" s="328"/>
      <c r="W381" s="328"/>
      <c r="X381" s="328"/>
      <c r="Y381" s="328">
        <f>IF(Y219="kWh",SUMPRODUCT(D221:D379,Y221:Y379))</f>
        <v>9349965</v>
      </c>
      <c r="Z381" s="328">
        <f>IF(Z219="kWh",SUMPRODUCT(D221:D379,Z221:Z379))</f>
        <v>1471640.88</v>
      </c>
      <c r="AA381" s="328">
        <f>IF(AA219="kw",SUMPRODUCT(N221:N379,O221:O379,AA221:AA379),SUMPRODUCT(D221:D379,AA221:AA379))</f>
        <v>26146.560000000001</v>
      </c>
      <c r="AB381" s="328">
        <f>IF(AB219="kw",SUMPRODUCT(N221:N379,O221:O379,AB221:AB379),SUMPRODUCT(D221:D379,AB221:AB379))</f>
        <v>0</v>
      </c>
      <c r="AC381" s="328">
        <f>IF(AC219="kw",SUMPRODUCT(N221:N379,O221:O379,AC221:AC379),SUMPRODUCT(D221:D379,AC221:AC379))</f>
        <v>0</v>
      </c>
      <c r="AD381" s="328">
        <f>IF(AD219="kw",SUMPRODUCT(N221:N379,O221:O379,AD221:AD379),SUMPRODUCT(D221:D379,AD221:AD379))</f>
        <v>0</v>
      </c>
      <c r="AE381" s="328">
        <f>IF(AE219="kw",SUMPRODUCT(N221:N379,O221:O379,AE221:AE379),SUMPRODUCT(D221:D379,AE221:AE379))</f>
        <v>0</v>
      </c>
      <c r="AF381" s="328">
        <f>IF(AF219="kw",SUMPRODUCT(N221:N379,O221:O379,AF221:AF379),SUMPRODUCT(D221:D379,AF221:AF379))</f>
        <v>0</v>
      </c>
      <c r="AG381" s="328">
        <f>IF(AG219="kw",SUMPRODUCT(N221:N379,O221:O379,AG221:AG379),SUMPRODUCT(D221:D379,AG221:AG379))</f>
        <v>0</v>
      </c>
      <c r="AH381" s="328">
        <f>IF(AH219="kw",SUMPRODUCT(N221:N379,O221:O379,AH221:AH379),SUMPRODUCT(D221:D379,AH221:AH379))</f>
        <v>0</v>
      </c>
      <c r="AI381" s="328">
        <f>IF(AI219="kw",SUMPRODUCT(N221:N379,O221:O379,AI221:AI379),SUMPRODUCT(D221:D379,AI221:AI379))</f>
        <v>0</v>
      </c>
      <c r="AJ381" s="328">
        <f>IF(AJ219="kw",SUMPRODUCT(N221:N379,O221:O379,AJ221:AJ379),SUMPRODUCT(D221:D379,AJ221:AJ379))</f>
        <v>0</v>
      </c>
      <c r="AK381" s="328">
        <f>IF(AK219="kw",SUMPRODUCT(N221:N379,O221:O379,AK221:AK379),SUMPRODUCT(D221:D379,AK221:AK379))</f>
        <v>0</v>
      </c>
      <c r="AL381" s="328">
        <f>IF(AL219="kw",SUMPRODUCT(N221:N379,O221:O379,AL221:AL379),SUMPRODUCT(D221:D379,AL221:AL379))</f>
        <v>0</v>
      </c>
      <c r="AM381" s="329"/>
    </row>
    <row r="382" spans="1:42" ht="15.75">
      <c r="B382" s="390" t="s">
        <v>275</v>
      </c>
      <c r="C382" s="391"/>
      <c r="D382" s="391"/>
      <c r="E382" s="391"/>
      <c r="F382" s="391"/>
      <c r="G382" s="391"/>
      <c r="H382" s="391"/>
      <c r="I382" s="391"/>
      <c r="J382" s="391"/>
      <c r="K382" s="391"/>
      <c r="L382" s="391"/>
      <c r="M382" s="391"/>
      <c r="N382" s="391"/>
      <c r="O382" s="391"/>
      <c r="P382" s="391"/>
      <c r="Q382" s="391"/>
      <c r="R382" s="391"/>
      <c r="S382" s="391"/>
      <c r="T382" s="391"/>
      <c r="U382" s="391"/>
      <c r="V382" s="391"/>
      <c r="W382" s="391"/>
      <c r="X382" s="391"/>
      <c r="Y382" s="391">
        <f>HLOOKUP(Y218,'2. LRAMVA Threshold'!$B$42:$Q$53,8,FALSE)</f>
        <v>3348102</v>
      </c>
      <c r="Z382" s="391">
        <f>HLOOKUP(Z218,'2. LRAMVA Threshold'!$B$42:$Q$53,8,FALSE)</f>
        <v>3280740</v>
      </c>
      <c r="AA382" s="391">
        <f>HLOOKUP(AA218,'2. LRAMVA Threshold'!$B$42:$Q$53,8,FALSE)</f>
        <v>31326</v>
      </c>
      <c r="AB382" s="391">
        <f>HLOOKUP(AB218,'2. LRAMVA Threshold'!$B$42:$Q$53,8,FALSE)</f>
        <v>0</v>
      </c>
      <c r="AC382" s="391">
        <f>HLOOKUP(AC218,'2. LRAMVA Threshold'!$B$42:$Q$53,8,FALSE)</f>
        <v>0</v>
      </c>
      <c r="AD382" s="391">
        <f>HLOOKUP(AD218,'2. LRAMVA Threshold'!$B$42:$Q$53,8,FALSE)</f>
        <v>0</v>
      </c>
      <c r="AE382" s="391">
        <f>HLOOKUP(AE218,'2. LRAMVA Threshold'!$B$42:$Q$53,8,FALSE)</f>
        <v>0</v>
      </c>
      <c r="AF382" s="391">
        <f>HLOOKUP(AF218,'2. LRAMVA Threshold'!$B$42:$Q$53,8,FALSE)</f>
        <v>0</v>
      </c>
      <c r="AG382" s="391">
        <f>HLOOKUP(AG218,'2. LRAMVA Threshold'!$B$42:$Q$53,8,FALSE)</f>
        <v>0</v>
      </c>
      <c r="AH382" s="391">
        <f>HLOOKUP(AH218,'2. LRAMVA Threshold'!$B$42:$Q$53,8,FALSE)</f>
        <v>0</v>
      </c>
      <c r="AI382" s="391">
        <f>HLOOKUP(AI218,'2. LRAMVA Threshold'!$B$42:$Q$53,8,FALSE)</f>
        <v>0</v>
      </c>
      <c r="AJ382" s="391">
        <f>HLOOKUP(AJ218,'2. LRAMVA Threshold'!$B$42:$Q$53,8,FALSE)</f>
        <v>0</v>
      </c>
      <c r="AK382" s="391">
        <f>HLOOKUP(AK218,'2. LRAMVA Threshold'!$B$42:$Q$53,8,FALSE)</f>
        <v>0</v>
      </c>
      <c r="AL382" s="391">
        <f>HLOOKUP(AL218,'2. LRAMVA Threshold'!$B$42:$Q$53,8,FALSE)</f>
        <v>0</v>
      </c>
      <c r="AM382" s="392"/>
    </row>
    <row r="383" spans="1:42">
      <c r="B383" s="393"/>
      <c r="C383" s="429"/>
      <c r="D383" s="430"/>
      <c r="E383" s="430"/>
      <c r="F383" s="430"/>
      <c r="G383" s="430"/>
      <c r="H383" s="430"/>
      <c r="I383" s="430"/>
      <c r="J383" s="430"/>
      <c r="K383" s="430"/>
      <c r="L383" s="430"/>
      <c r="M383" s="430"/>
      <c r="N383" s="430"/>
      <c r="O383" s="431"/>
      <c r="P383" s="430"/>
      <c r="Q383" s="430"/>
      <c r="R383" s="430"/>
      <c r="S383" s="432"/>
      <c r="T383" s="432"/>
      <c r="U383" s="432"/>
      <c r="V383" s="432"/>
      <c r="W383" s="430"/>
      <c r="X383" s="430"/>
      <c r="Y383" s="433"/>
      <c r="Z383" s="433"/>
      <c r="AA383" s="433"/>
      <c r="AB383" s="433"/>
      <c r="AC383" s="433"/>
      <c r="AD383" s="433"/>
      <c r="AE383" s="433"/>
      <c r="AF383" s="398"/>
      <c r="AG383" s="398"/>
      <c r="AH383" s="398"/>
      <c r="AI383" s="398"/>
      <c r="AJ383" s="398"/>
      <c r="AK383" s="398"/>
      <c r="AL383" s="398"/>
      <c r="AM383" s="399"/>
    </row>
    <row r="384" spans="1:42">
      <c r="B384" s="323" t="s">
        <v>276</v>
      </c>
      <c r="C384" s="337"/>
      <c r="D384" s="337"/>
      <c r="E384" s="375"/>
      <c r="F384" s="375"/>
      <c r="G384" s="375"/>
      <c r="H384" s="375"/>
      <c r="I384" s="375"/>
      <c r="J384" s="375"/>
      <c r="K384" s="375"/>
      <c r="L384" s="375"/>
      <c r="M384" s="375"/>
      <c r="N384" s="375"/>
      <c r="O384" s="291"/>
      <c r="P384" s="339"/>
      <c r="Q384" s="339"/>
      <c r="R384" s="339"/>
      <c r="S384" s="338"/>
      <c r="T384" s="338"/>
      <c r="U384" s="338"/>
      <c r="V384" s="338"/>
      <c r="W384" s="339"/>
      <c r="X384" s="339"/>
      <c r="Y384" s="340">
        <f>HLOOKUP(Y$35,'3.  Distribution Rates'!$C$122:$P$133,8,FALSE)</f>
        <v>1.2500000000000001E-2</v>
      </c>
      <c r="Z384" s="340">
        <f>HLOOKUP(Z$35,'3.  Distribution Rates'!$C$122:$P$133,8,FALSE)</f>
        <v>1.2800000000000001E-2</v>
      </c>
      <c r="AA384" s="340">
        <f>HLOOKUP(AA$35,'3.  Distribution Rates'!$C$122:$P$133,8,FALSE)</f>
        <v>4.5715000000000003</v>
      </c>
      <c r="AB384" s="340">
        <f>HLOOKUP(AB$35,'3.  Distribution Rates'!$C$122:$P$133,8,FALSE)</f>
        <v>0</v>
      </c>
      <c r="AC384" s="340">
        <f>HLOOKUP(AC$35,'3.  Distribution Rates'!$C$122:$P$133,8,FALSE)</f>
        <v>0</v>
      </c>
      <c r="AD384" s="340">
        <f>HLOOKUP(AD$35,'3.  Distribution Rates'!$C$122:$P$133,8,FALSE)</f>
        <v>0</v>
      </c>
      <c r="AE384" s="340">
        <f>HLOOKUP(AE$35,'3.  Distribution Rates'!$C$122:$P$133,8,FALSE)</f>
        <v>0</v>
      </c>
      <c r="AF384" s="340">
        <f>HLOOKUP(AF$35,'3.  Distribution Rates'!$C$122:$P$133,8,FALSE)</f>
        <v>0</v>
      </c>
      <c r="AG384" s="340">
        <f>HLOOKUP(AG$35,'3.  Distribution Rates'!$C$122:$P$133,8,FALSE)</f>
        <v>0</v>
      </c>
      <c r="AH384" s="340">
        <f>HLOOKUP(AH$35,'3.  Distribution Rates'!$C$122:$P$133,8,FALSE)</f>
        <v>0</v>
      </c>
      <c r="AI384" s="340">
        <f>HLOOKUP(AI$35,'3.  Distribution Rates'!$C$122:$P$133,8,FALSE)</f>
        <v>0</v>
      </c>
      <c r="AJ384" s="340">
        <f>HLOOKUP(AJ$35,'3.  Distribution Rates'!$C$122:$P$133,8,FALSE)</f>
        <v>0</v>
      </c>
      <c r="AK384" s="340">
        <f>HLOOKUP(AK$35,'3.  Distribution Rates'!$C$122:$P$133,8,FALSE)</f>
        <v>0</v>
      </c>
      <c r="AL384" s="340">
        <f>HLOOKUP(AL$35,'3.  Distribution Rates'!$C$122:$P$133,8,FALSE)</f>
        <v>0</v>
      </c>
      <c r="AM384" s="376"/>
      <c r="AN384" s="340"/>
      <c r="AO384" s="340"/>
      <c r="AP384" s="340"/>
    </row>
    <row r="385" spans="2:39">
      <c r="B385" s="323" t="s">
        <v>277</v>
      </c>
      <c r="C385" s="344"/>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790"/>
      <c r="Z385" s="790"/>
      <c r="AA385" s="790"/>
      <c r="AB385" s="377">
        <f>'4.  2011-2014 LRAM'!AB139*AB384</f>
        <v>0</v>
      </c>
      <c r="AC385" s="377">
        <f>'4.  2011-2014 LRAM'!AC139*AC384</f>
        <v>0</v>
      </c>
      <c r="AD385" s="377">
        <f>'4.  2011-2014 LRAM'!AD139*AD384</f>
        <v>0</v>
      </c>
      <c r="AE385" s="377">
        <f>'4.  2011-2014 LRAM'!AE139*AE384</f>
        <v>0</v>
      </c>
      <c r="AF385" s="377">
        <f>'4.  2011-2014 LRAM'!AF139*AF384</f>
        <v>0</v>
      </c>
      <c r="AG385" s="377">
        <f>'4.  2011-2014 LRAM'!AG139*AG384</f>
        <v>0</v>
      </c>
      <c r="AH385" s="377">
        <f>'4.  2011-2014 LRAM'!AH139*AH384</f>
        <v>0</v>
      </c>
      <c r="AI385" s="377">
        <f>'4.  2011-2014 LRAM'!AI139*AI384</f>
        <v>0</v>
      </c>
      <c r="AJ385" s="377">
        <f>'4.  2011-2014 LRAM'!AJ139*AJ384</f>
        <v>0</v>
      </c>
      <c r="AK385" s="377">
        <f>'4.  2011-2014 LRAM'!AK139*AK384</f>
        <v>0</v>
      </c>
      <c r="AL385" s="377">
        <f>'4.  2011-2014 LRAM'!AL139*AL384</f>
        <v>0</v>
      </c>
      <c r="AM385" s="624">
        <f>SUM(Y385:AL385)</f>
        <v>0</v>
      </c>
    </row>
    <row r="386" spans="2:39">
      <c r="B386" s="323" t="s">
        <v>278</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790"/>
      <c r="Z386" s="790"/>
      <c r="AA386" s="790"/>
      <c r="AB386" s="377">
        <f>'4.  2011-2014 LRAM'!AB268*AB384</f>
        <v>0</v>
      </c>
      <c r="AC386" s="377">
        <f>'4.  2011-2014 LRAM'!AC268*AC384</f>
        <v>0</v>
      </c>
      <c r="AD386" s="377">
        <f>'4.  2011-2014 LRAM'!AD268*AD384</f>
        <v>0</v>
      </c>
      <c r="AE386" s="377">
        <f>'4.  2011-2014 LRAM'!AE268*AE384</f>
        <v>0</v>
      </c>
      <c r="AF386" s="377">
        <f>'4.  2011-2014 LRAM'!AF268*AF384</f>
        <v>0</v>
      </c>
      <c r="AG386" s="377">
        <f>'4.  2011-2014 LRAM'!AG268*AG384</f>
        <v>0</v>
      </c>
      <c r="AH386" s="377">
        <f>'4.  2011-2014 LRAM'!AH268*AH384</f>
        <v>0</v>
      </c>
      <c r="AI386" s="377">
        <f>'4.  2011-2014 LRAM'!AI268*AI384</f>
        <v>0</v>
      </c>
      <c r="AJ386" s="377">
        <f>'4.  2011-2014 LRAM'!AJ268*AJ384</f>
        <v>0</v>
      </c>
      <c r="AK386" s="377">
        <f>'4.  2011-2014 LRAM'!AK268*AK384</f>
        <v>0</v>
      </c>
      <c r="AL386" s="377">
        <f>'4.  2011-2014 LRAM'!AL268*AL384</f>
        <v>0</v>
      </c>
      <c r="AM386" s="624">
        <f>SUM(Y386:AL386)</f>
        <v>0</v>
      </c>
    </row>
    <row r="387" spans="2:39">
      <c r="B387" s="323" t="s">
        <v>279</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f>'4.  2011-2014 LRAM'!Y397*Y384</f>
        <v>18941.023950300347</v>
      </c>
      <c r="Z387" s="377">
        <f>'4.  2011-2014 LRAM'!Z397*Z384</f>
        <v>20011.480763887535</v>
      </c>
      <c r="AA387" s="377">
        <f>'4.  2011-2014 LRAM'!AA397*AA384</f>
        <v>57178.361125012925</v>
      </c>
      <c r="AB387" s="377">
        <f>'4.  2011-2014 LRAM'!AB397*AB384</f>
        <v>0</v>
      </c>
      <c r="AC387" s="377">
        <f>'4.  2011-2014 LRAM'!AC397*AC384</f>
        <v>0</v>
      </c>
      <c r="AD387" s="377">
        <f>'4.  2011-2014 LRAM'!AD397*AD384</f>
        <v>0</v>
      </c>
      <c r="AE387" s="377">
        <f>'4.  2011-2014 LRAM'!AE397*AE384</f>
        <v>0</v>
      </c>
      <c r="AF387" s="377">
        <f>'4.  2011-2014 LRAM'!AF397*AF384</f>
        <v>0</v>
      </c>
      <c r="AG387" s="377">
        <f>'4.  2011-2014 LRAM'!AG397*AG384</f>
        <v>0</v>
      </c>
      <c r="AH387" s="377">
        <f>'4.  2011-2014 LRAM'!AH397*AH384</f>
        <v>0</v>
      </c>
      <c r="AI387" s="377">
        <f>'4.  2011-2014 LRAM'!AI397*AI384</f>
        <v>0</v>
      </c>
      <c r="AJ387" s="377">
        <f>'4.  2011-2014 LRAM'!AJ397*AJ384</f>
        <v>0</v>
      </c>
      <c r="AK387" s="377">
        <f>'4.  2011-2014 LRAM'!AK397*AK384</f>
        <v>0</v>
      </c>
      <c r="AL387" s="377">
        <f>'4.  2011-2014 LRAM'!AL397*AL384</f>
        <v>0</v>
      </c>
      <c r="AM387" s="624">
        <f>SUM(Y387:AL387)</f>
        <v>96130.865839200807</v>
      </c>
    </row>
    <row r="388" spans="2:39">
      <c r="B388" s="323" t="s">
        <v>280</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'4.  2011-2014 LRAM'!Y527*Y384</f>
        <v>45396.34546213047</v>
      </c>
      <c r="Z388" s="377">
        <f>'4.  2011-2014 LRAM'!Z527*Z384</f>
        <v>21777.247584960001</v>
      </c>
      <c r="AA388" s="377">
        <f>'4.  2011-2014 LRAM'!AA527*AA384</f>
        <v>45423.947704791288</v>
      </c>
      <c r="AB388" s="377">
        <f>'4.  2011-2014 LRAM'!AB527*AB384</f>
        <v>0</v>
      </c>
      <c r="AC388" s="377">
        <f>'4.  2011-2014 LRAM'!AC527*AC384</f>
        <v>0</v>
      </c>
      <c r="AD388" s="377">
        <f>'4.  2011-2014 LRAM'!AD527*AD384</f>
        <v>0</v>
      </c>
      <c r="AE388" s="377">
        <f>'4.  2011-2014 LRAM'!AE527*AE384</f>
        <v>0</v>
      </c>
      <c r="AF388" s="377">
        <f>'4.  2011-2014 LRAM'!AF527*AF384</f>
        <v>0</v>
      </c>
      <c r="AG388" s="377">
        <f>'4.  2011-2014 LRAM'!AG527*AG384</f>
        <v>0</v>
      </c>
      <c r="AH388" s="377">
        <f>'4.  2011-2014 LRAM'!AH527*AH384</f>
        <v>0</v>
      </c>
      <c r="AI388" s="377">
        <f>'4.  2011-2014 LRAM'!AI527*AI384</f>
        <v>0</v>
      </c>
      <c r="AJ388" s="377">
        <f>'4.  2011-2014 LRAM'!AJ527*AJ384</f>
        <v>0</v>
      </c>
      <c r="AK388" s="377">
        <f>'4.  2011-2014 LRAM'!AK527*AK384</f>
        <v>0</v>
      </c>
      <c r="AL388" s="377">
        <f>'4.  2011-2014 LRAM'!AL527*AL384</f>
        <v>0</v>
      </c>
      <c r="AM388" s="624">
        <f t="shared" ref="AM388:AM390" si="1124">SUM(Y388:AL388)</f>
        <v>112597.54075188175</v>
      </c>
    </row>
    <row r="389" spans="2:39">
      <c r="B389" s="323" t="s">
        <v>281</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125">Y208*Y384</f>
        <v>51694.913250000005</v>
      </c>
      <c r="Z389" s="377">
        <f t="shared" si="1125"/>
        <v>47761.187584000007</v>
      </c>
      <c r="AA389" s="377">
        <f t="shared" si="1125"/>
        <v>170698.34712000002</v>
      </c>
      <c r="AB389" s="377">
        <f t="shared" si="1125"/>
        <v>0</v>
      </c>
      <c r="AC389" s="377">
        <f t="shared" si="1125"/>
        <v>0</v>
      </c>
      <c r="AD389" s="377">
        <f t="shared" si="1125"/>
        <v>0</v>
      </c>
      <c r="AE389" s="377">
        <f t="shared" si="1125"/>
        <v>0</v>
      </c>
      <c r="AF389" s="377">
        <f t="shared" si="1125"/>
        <v>0</v>
      </c>
      <c r="AG389" s="377">
        <f t="shared" si="1125"/>
        <v>0</v>
      </c>
      <c r="AH389" s="377">
        <f t="shared" si="1125"/>
        <v>0</v>
      </c>
      <c r="AI389" s="377">
        <f t="shared" si="1125"/>
        <v>0</v>
      </c>
      <c r="AJ389" s="377">
        <f t="shared" si="1125"/>
        <v>0</v>
      </c>
      <c r="AK389" s="377">
        <f t="shared" si="1125"/>
        <v>0</v>
      </c>
      <c r="AL389" s="377">
        <f t="shared" si="1125"/>
        <v>0</v>
      </c>
      <c r="AM389" s="624">
        <f t="shared" si="1124"/>
        <v>270154.44795400003</v>
      </c>
    </row>
    <row r="390" spans="2:39">
      <c r="B390" s="323" t="s">
        <v>290</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Y381*Y384</f>
        <v>116874.5625</v>
      </c>
      <c r="Z390" s="377">
        <f t="shared" ref="Z390:AL390" si="1126">Z381*Z384</f>
        <v>18837.003263999999</v>
      </c>
      <c r="AA390" s="377">
        <f t="shared" si="1126"/>
        <v>119528.99904000001</v>
      </c>
      <c r="AB390" s="377">
        <f t="shared" si="1126"/>
        <v>0</v>
      </c>
      <c r="AC390" s="377">
        <f t="shared" si="1126"/>
        <v>0</v>
      </c>
      <c r="AD390" s="377">
        <f t="shared" si="1126"/>
        <v>0</v>
      </c>
      <c r="AE390" s="377">
        <f t="shared" si="1126"/>
        <v>0</v>
      </c>
      <c r="AF390" s="377">
        <f t="shared" si="1126"/>
        <v>0</v>
      </c>
      <c r="AG390" s="377">
        <f t="shared" si="1126"/>
        <v>0</v>
      </c>
      <c r="AH390" s="377">
        <f t="shared" si="1126"/>
        <v>0</v>
      </c>
      <c r="AI390" s="377">
        <f t="shared" si="1126"/>
        <v>0</v>
      </c>
      <c r="AJ390" s="377">
        <f t="shared" si="1126"/>
        <v>0</v>
      </c>
      <c r="AK390" s="377">
        <f t="shared" si="1126"/>
        <v>0</v>
      </c>
      <c r="AL390" s="377">
        <f t="shared" si="1126"/>
        <v>0</v>
      </c>
      <c r="AM390" s="624">
        <f t="shared" si="1124"/>
        <v>255240.56480400002</v>
      </c>
    </row>
    <row r="391" spans="2:39" ht="15.75">
      <c r="B391" s="348" t="s">
        <v>282</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SUM(Y385:Y390)</f>
        <v>232906.84516243084</v>
      </c>
      <c r="Z391" s="345">
        <f t="shared" ref="Z391:AE391" si="1127">SUM(Z385:Z390)</f>
        <v>108386.91919684754</v>
      </c>
      <c r="AA391" s="345">
        <f t="shared" si="1127"/>
        <v>392829.65498980426</v>
      </c>
      <c r="AB391" s="345">
        <f t="shared" si="1127"/>
        <v>0</v>
      </c>
      <c r="AC391" s="345">
        <f t="shared" si="1127"/>
        <v>0</v>
      </c>
      <c r="AD391" s="345">
        <f t="shared" si="1127"/>
        <v>0</v>
      </c>
      <c r="AE391" s="345">
        <f t="shared" si="1127"/>
        <v>0</v>
      </c>
      <c r="AF391" s="345">
        <f>SUM(AF385:AF390)</f>
        <v>0</v>
      </c>
      <c r="AG391" s="345">
        <f t="shared" ref="AG391:AL391" si="1128">SUM(AG385:AG390)</f>
        <v>0</v>
      </c>
      <c r="AH391" s="345">
        <f t="shared" si="1128"/>
        <v>0</v>
      </c>
      <c r="AI391" s="345">
        <f t="shared" si="1128"/>
        <v>0</v>
      </c>
      <c r="AJ391" s="345">
        <f t="shared" si="1128"/>
        <v>0</v>
      </c>
      <c r="AK391" s="345">
        <f t="shared" si="1128"/>
        <v>0</v>
      </c>
      <c r="AL391" s="345">
        <f t="shared" si="1128"/>
        <v>0</v>
      </c>
      <c r="AM391" s="406">
        <f>SUM(AM385:AM390)</f>
        <v>734123.41934908263</v>
      </c>
    </row>
    <row r="392" spans="2:39" ht="15.75">
      <c r="B392" s="348" t="s">
        <v>283</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Y382*Y384</f>
        <v>41851.275000000001</v>
      </c>
      <c r="Z392" s="346">
        <f t="shared" ref="Z392:AE392" si="1129">Z382*Z384</f>
        <v>41993.472000000002</v>
      </c>
      <c r="AA392" s="346">
        <f t="shared" si="1129"/>
        <v>143206.80900000001</v>
      </c>
      <c r="AB392" s="346">
        <f t="shared" si="1129"/>
        <v>0</v>
      </c>
      <c r="AC392" s="346">
        <f t="shared" si="1129"/>
        <v>0</v>
      </c>
      <c r="AD392" s="346">
        <f t="shared" si="1129"/>
        <v>0</v>
      </c>
      <c r="AE392" s="346">
        <f t="shared" si="1129"/>
        <v>0</v>
      </c>
      <c r="AF392" s="346">
        <f>AF382*AF384</f>
        <v>0</v>
      </c>
      <c r="AG392" s="346">
        <f t="shared" ref="AG392:AL392" si="1130">AG382*AG384</f>
        <v>0</v>
      </c>
      <c r="AH392" s="346">
        <f t="shared" si="1130"/>
        <v>0</v>
      </c>
      <c r="AI392" s="346">
        <f t="shared" si="1130"/>
        <v>0</v>
      </c>
      <c r="AJ392" s="346">
        <f t="shared" si="1130"/>
        <v>0</v>
      </c>
      <c r="AK392" s="346">
        <f t="shared" si="1130"/>
        <v>0</v>
      </c>
      <c r="AL392" s="346">
        <f t="shared" si="1130"/>
        <v>0</v>
      </c>
      <c r="AM392" s="406">
        <f>SUM(Y392:AL392)</f>
        <v>227051.55600000001</v>
      </c>
    </row>
    <row r="393" spans="2:39" ht="15.75">
      <c r="B393" s="348" t="s">
        <v>284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50"/>
      <c r="Z393" s="350"/>
      <c r="AA393" s="350"/>
      <c r="AB393" s="350"/>
      <c r="AC393" s="350"/>
      <c r="AD393" s="350"/>
      <c r="AE393" s="350"/>
      <c r="AF393" s="350"/>
      <c r="AG393" s="350"/>
      <c r="AH393" s="350"/>
      <c r="AI393" s="350"/>
      <c r="AJ393" s="350"/>
      <c r="AK393" s="350"/>
      <c r="AL393" s="350"/>
      <c r="AM393" s="406">
        <f>AM391-AM392</f>
        <v>507071.86334908265</v>
      </c>
    </row>
    <row r="394" spans="2:39">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351"/>
      <c r="Z394" s="351"/>
      <c r="AA394" s="351"/>
      <c r="AB394" s="351"/>
      <c r="AC394" s="351"/>
      <c r="AD394" s="351"/>
      <c r="AE394" s="351"/>
      <c r="AF394" s="351"/>
      <c r="AG394" s="351"/>
      <c r="AH394" s="351"/>
      <c r="AI394" s="351"/>
      <c r="AJ394" s="351"/>
      <c r="AK394" s="351"/>
      <c r="AL394" s="351"/>
      <c r="AM394" s="347"/>
    </row>
    <row r="395" spans="2:39">
      <c r="B395" s="436" t="s">
        <v>285</v>
      </c>
      <c r="C395" s="304"/>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SUMPRODUCT(E221:E379,Y221:Y379)</f>
        <v>9349965</v>
      </c>
      <c r="Z395" s="291">
        <f>SUMPRODUCT(E221:E379,Z221:Z379)</f>
        <v>1471640.88</v>
      </c>
      <c r="AA395" s="291">
        <f t="shared" ref="AA395:AL395" si="1131">IF(AA219="kw",SUMPRODUCT($N$221:$N$379,$P$221:$P$379,AA221:AA379),SUMPRODUCT($E$221:$E$379,AA221:AA379))</f>
        <v>26146.559999999998</v>
      </c>
      <c r="AB395" s="291">
        <f t="shared" si="1131"/>
        <v>0</v>
      </c>
      <c r="AC395" s="291">
        <f t="shared" si="1131"/>
        <v>0</v>
      </c>
      <c r="AD395" s="291">
        <f t="shared" si="1131"/>
        <v>0</v>
      </c>
      <c r="AE395" s="291">
        <f t="shared" si="1131"/>
        <v>0</v>
      </c>
      <c r="AF395" s="291">
        <f t="shared" si="1131"/>
        <v>0</v>
      </c>
      <c r="AG395" s="291">
        <f t="shared" si="1131"/>
        <v>0</v>
      </c>
      <c r="AH395" s="291">
        <f t="shared" si="1131"/>
        <v>0</v>
      </c>
      <c r="AI395" s="291">
        <f t="shared" si="1131"/>
        <v>0</v>
      </c>
      <c r="AJ395" s="291">
        <f t="shared" si="1131"/>
        <v>0</v>
      </c>
      <c r="AK395" s="291">
        <f t="shared" si="1131"/>
        <v>0</v>
      </c>
      <c r="AL395" s="291">
        <f t="shared" si="1131"/>
        <v>0</v>
      </c>
      <c r="AM395" s="347"/>
    </row>
    <row r="396" spans="2:39">
      <c r="B396" s="436" t="s">
        <v>286</v>
      </c>
      <c r="C396" s="304"/>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SUMPRODUCT(F221:F379,Y221:Y379)</f>
        <v>9349965</v>
      </c>
      <c r="Z396" s="291">
        <f>SUMPRODUCT(F221:F379,Z221:Z379)</f>
        <v>1563626.4</v>
      </c>
      <c r="AA396" s="291">
        <f t="shared" ref="AA396:AL396" si="1132">IF(AA219="kw",SUMPRODUCT($N$221:$N$379,$Q$221:$Q$379,AA221:AA379),SUMPRODUCT($F$221:$F$379,AA221:AA379))</f>
        <v>29451.839999999997</v>
      </c>
      <c r="AB396" s="291">
        <f t="shared" si="1132"/>
        <v>0</v>
      </c>
      <c r="AC396" s="291">
        <f t="shared" si="1132"/>
        <v>0</v>
      </c>
      <c r="AD396" s="291">
        <f t="shared" si="1132"/>
        <v>0</v>
      </c>
      <c r="AE396" s="291">
        <f t="shared" si="1132"/>
        <v>0</v>
      </c>
      <c r="AF396" s="291">
        <f t="shared" si="1132"/>
        <v>0</v>
      </c>
      <c r="AG396" s="291">
        <f t="shared" si="1132"/>
        <v>0</v>
      </c>
      <c r="AH396" s="291">
        <f t="shared" si="1132"/>
        <v>0</v>
      </c>
      <c r="AI396" s="291">
        <f t="shared" si="1132"/>
        <v>0</v>
      </c>
      <c r="AJ396" s="291">
        <f t="shared" si="1132"/>
        <v>0</v>
      </c>
      <c r="AK396" s="291">
        <f t="shared" si="1132"/>
        <v>0</v>
      </c>
      <c r="AL396" s="291">
        <f t="shared" si="1132"/>
        <v>0</v>
      </c>
      <c r="AM396" s="336"/>
    </row>
    <row r="397" spans="2:39">
      <c r="B397" s="436" t="s">
        <v>287</v>
      </c>
      <c r="C397" s="304"/>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SUMPRODUCT(G221:G379,Y221:Y379)</f>
        <v>9349965</v>
      </c>
      <c r="Z397" s="291">
        <f>SUMPRODUCT(G221:G379,Z221:Z379)</f>
        <v>1563626.4</v>
      </c>
      <c r="AA397" s="291">
        <f t="shared" ref="AA397:AL397" si="1133">IF(AA219="kw",SUMPRODUCT($N$221:$N$379,$R$221:$R$379,AA221:AA379),SUMPRODUCT($G$221:$G$379,AA221:AA379))</f>
        <v>29451.839999999997</v>
      </c>
      <c r="AB397" s="291">
        <f t="shared" si="1133"/>
        <v>0</v>
      </c>
      <c r="AC397" s="291">
        <f t="shared" si="1133"/>
        <v>0</v>
      </c>
      <c r="AD397" s="291">
        <f t="shared" si="1133"/>
        <v>0</v>
      </c>
      <c r="AE397" s="291">
        <f t="shared" si="1133"/>
        <v>0</v>
      </c>
      <c r="AF397" s="291">
        <f t="shared" si="1133"/>
        <v>0</v>
      </c>
      <c r="AG397" s="291">
        <f t="shared" si="1133"/>
        <v>0</v>
      </c>
      <c r="AH397" s="291">
        <f t="shared" si="1133"/>
        <v>0</v>
      </c>
      <c r="AI397" s="291">
        <f t="shared" si="1133"/>
        <v>0</v>
      </c>
      <c r="AJ397" s="291">
        <f t="shared" si="1133"/>
        <v>0</v>
      </c>
      <c r="AK397" s="291">
        <f t="shared" si="1133"/>
        <v>0</v>
      </c>
      <c r="AL397" s="291">
        <f t="shared" si="1133"/>
        <v>0</v>
      </c>
      <c r="AM397" s="336"/>
    </row>
    <row r="398" spans="2:39">
      <c r="B398" s="437" t="s">
        <v>288</v>
      </c>
      <c r="C398" s="363"/>
      <c r="D398" s="383"/>
      <c r="E398" s="383"/>
      <c r="F398" s="383"/>
      <c r="G398" s="383"/>
      <c r="H398" s="383"/>
      <c r="I398" s="383"/>
      <c r="J398" s="383"/>
      <c r="K398" s="383"/>
      <c r="L398" s="383"/>
      <c r="M398" s="383"/>
      <c r="N398" s="383"/>
      <c r="O398" s="382"/>
      <c r="P398" s="383"/>
      <c r="Q398" s="383"/>
      <c r="R398" s="383"/>
      <c r="S398" s="363"/>
      <c r="T398" s="384"/>
      <c r="U398" s="384"/>
      <c r="V398" s="383"/>
      <c r="W398" s="383"/>
      <c r="X398" s="384"/>
      <c r="Y398" s="325">
        <f>SUMPRODUCT(H221:H379,Y221:Y379)</f>
        <v>9349965</v>
      </c>
      <c r="Z398" s="325">
        <f>SUMPRODUCT(H221:H379,Z221:Z379)</f>
        <v>1563626.4</v>
      </c>
      <c r="AA398" s="325">
        <f t="shared" ref="AA398:AL398" si="1134">IF(AA219="kw",SUMPRODUCT($N$221:$N$379,$S$221:$S$379,AA221:AA379),SUMPRODUCT($H$221:$H$379,AA221:AA379))</f>
        <v>29451.839999999997</v>
      </c>
      <c r="AB398" s="325">
        <f t="shared" si="1134"/>
        <v>0</v>
      </c>
      <c r="AC398" s="325">
        <f t="shared" si="1134"/>
        <v>0</v>
      </c>
      <c r="AD398" s="325">
        <f t="shared" si="1134"/>
        <v>0</v>
      </c>
      <c r="AE398" s="325">
        <f t="shared" si="1134"/>
        <v>0</v>
      </c>
      <c r="AF398" s="325">
        <f t="shared" si="1134"/>
        <v>0</v>
      </c>
      <c r="AG398" s="325">
        <f t="shared" si="1134"/>
        <v>0</v>
      </c>
      <c r="AH398" s="325">
        <f t="shared" si="1134"/>
        <v>0</v>
      </c>
      <c r="AI398" s="325">
        <f t="shared" si="1134"/>
        <v>0</v>
      </c>
      <c r="AJ398" s="325">
        <f t="shared" si="1134"/>
        <v>0</v>
      </c>
      <c r="AK398" s="325">
        <f t="shared" si="1134"/>
        <v>0</v>
      </c>
      <c r="AL398" s="325">
        <f t="shared" si="1134"/>
        <v>0</v>
      </c>
      <c r="AM398" s="385"/>
    </row>
    <row r="399" spans="2:39" ht="21" customHeight="1">
      <c r="B399" s="367" t="s">
        <v>582</v>
      </c>
      <c r="C399" s="386"/>
      <c r="D399" s="387"/>
      <c r="E399" s="387"/>
      <c r="F399" s="387"/>
      <c r="G399" s="387"/>
      <c r="H399" s="387"/>
      <c r="I399" s="387"/>
      <c r="J399" s="387"/>
      <c r="K399" s="387"/>
      <c r="L399" s="387"/>
      <c r="M399" s="387"/>
      <c r="N399" s="387"/>
      <c r="O399" s="387"/>
      <c r="P399" s="387"/>
      <c r="Q399" s="387"/>
      <c r="R399" s="387"/>
      <c r="S399" s="370"/>
      <c r="T399" s="371"/>
      <c r="U399" s="387"/>
      <c r="V399" s="387"/>
      <c r="W399" s="387"/>
      <c r="X399" s="387"/>
      <c r="Y399" s="408"/>
      <c r="Z399" s="408"/>
      <c r="AA399" s="408"/>
      <c r="AB399" s="408"/>
      <c r="AC399" s="408"/>
      <c r="AD399" s="408"/>
      <c r="AE399" s="408"/>
      <c r="AF399" s="408"/>
      <c r="AG399" s="408"/>
      <c r="AH399" s="408"/>
      <c r="AI399" s="408"/>
      <c r="AJ399" s="408"/>
      <c r="AK399" s="408"/>
      <c r="AL399" s="408"/>
      <c r="AM399" s="388"/>
    </row>
    <row r="402" spans="1:39" ht="15.75">
      <c r="B402" s="280" t="s">
        <v>291</v>
      </c>
      <c r="C402" s="281"/>
      <c r="D402" s="585" t="s">
        <v>526</v>
      </c>
      <c r="E402" s="253"/>
      <c r="F402" s="587"/>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1199" t="s">
        <v>211</v>
      </c>
      <c r="C403" s="1201" t="s">
        <v>33</v>
      </c>
      <c r="D403" s="284" t="s">
        <v>422</v>
      </c>
      <c r="E403" s="1203" t="s">
        <v>209</v>
      </c>
      <c r="F403" s="1204"/>
      <c r="G403" s="1204"/>
      <c r="H403" s="1204"/>
      <c r="I403" s="1204"/>
      <c r="J403" s="1204"/>
      <c r="K403" s="1204"/>
      <c r="L403" s="1204"/>
      <c r="M403" s="1205"/>
      <c r="N403" s="1206" t="s">
        <v>213</v>
      </c>
      <c r="O403" s="284" t="s">
        <v>423</v>
      </c>
      <c r="P403" s="1203" t="s">
        <v>212</v>
      </c>
      <c r="Q403" s="1204"/>
      <c r="R403" s="1204"/>
      <c r="S403" s="1204"/>
      <c r="T403" s="1204"/>
      <c r="U403" s="1204"/>
      <c r="V403" s="1204"/>
      <c r="W403" s="1204"/>
      <c r="X403" s="1205"/>
      <c r="Y403" s="940" t="s">
        <v>243</v>
      </c>
      <c r="Z403" s="941"/>
      <c r="AA403" s="941"/>
      <c r="AB403" s="941"/>
      <c r="AC403" s="941"/>
      <c r="AD403" s="941"/>
      <c r="AE403" s="941"/>
      <c r="AF403" s="941"/>
      <c r="AG403" s="941"/>
      <c r="AH403" s="941"/>
      <c r="AI403" s="941"/>
      <c r="AJ403" s="941"/>
      <c r="AK403" s="941"/>
      <c r="AL403" s="941"/>
      <c r="AM403" s="942"/>
    </row>
    <row r="404" spans="1:39" ht="61.5" customHeight="1">
      <c r="B404" s="1200"/>
      <c r="C404" s="1202"/>
      <c r="D404" s="285">
        <v>2017</v>
      </c>
      <c r="E404" s="285">
        <v>2018</v>
      </c>
      <c r="F404" s="285">
        <v>2019</v>
      </c>
      <c r="G404" s="285">
        <v>2020</v>
      </c>
      <c r="H404" s="285">
        <v>2021</v>
      </c>
      <c r="I404" s="285">
        <v>2022</v>
      </c>
      <c r="J404" s="285">
        <v>2023</v>
      </c>
      <c r="K404" s="285">
        <v>2024</v>
      </c>
      <c r="L404" s="285">
        <v>2025</v>
      </c>
      <c r="M404" s="285">
        <v>2026</v>
      </c>
      <c r="N404" s="1207"/>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 50 kW</v>
      </c>
      <c r="AB404" s="285" t="str">
        <f>'1.  LRAMVA Summary'!G52</f>
        <v>Streetlighting kW</v>
      </c>
      <c r="AC404" s="285" t="str">
        <f>'1.  LRAMVA Summary'!H52</f>
        <v/>
      </c>
      <c r="AD404" s="285" t="str">
        <f>'1.  LRAMVA Summary'!I52</f>
        <v/>
      </c>
      <c r="AE404" s="285" t="str">
        <f>'1.  LRAMVA Summary'!J52</f>
        <v/>
      </c>
      <c r="AF404" s="285" t="str">
        <f>'1.  LRAMVA Summary'!K52</f>
        <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6" customHeight="1">
      <c r="A405" s="527"/>
      <c r="B405" s="519" t="s">
        <v>504</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f>'1.  LRAMVA Summary'!H53</f>
        <v>0</v>
      </c>
      <c r="AD405" s="291">
        <f>'1.  LRAMVA Summary'!I53</f>
        <v>0</v>
      </c>
      <c r="AE405" s="291">
        <f>'1.  LRAMVA Summary'!J53</f>
        <v>0</v>
      </c>
      <c r="AF405" s="291">
        <f>'1.  LRAMVA Summary'!K53</f>
        <v>0</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75" hidden="1" outlineLevel="1">
      <c r="A406" s="527"/>
      <c r="B406" s="499" t="s">
        <v>497</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idden="1" outlineLevel="1">
      <c r="A407" s="527">
        <v>1</v>
      </c>
      <c r="B407" s="425" t="s">
        <v>95</v>
      </c>
      <c r="C407" s="291" t="s">
        <v>25</v>
      </c>
      <c r="D407" s="295"/>
      <c r="E407" s="295"/>
      <c r="F407" s="295"/>
      <c r="G407" s="295"/>
      <c r="H407" s="295"/>
      <c r="I407" s="295"/>
      <c r="J407" s="295"/>
      <c r="K407" s="295"/>
      <c r="L407" s="295"/>
      <c r="M407" s="295"/>
      <c r="N407" s="758"/>
      <c r="O407" s="295"/>
      <c r="P407" s="295"/>
      <c r="Q407" s="295"/>
      <c r="R407" s="295"/>
      <c r="S407" s="295"/>
      <c r="T407" s="295"/>
      <c r="U407" s="295"/>
      <c r="V407" s="295"/>
      <c r="W407" s="295"/>
      <c r="X407" s="295"/>
      <c r="Y407" s="409"/>
      <c r="Z407" s="409"/>
      <c r="AA407" s="409"/>
      <c r="AB407" s="409"/>
      <c r="AC407" s="409"/>
      <c r="AD407" s="409"/>
      <c r="AE407" s="409"/>
      <c r="AF407" s="409"/>
      <c r="AG407" s="409"/>
      <c r="AH407" s="409"/>
      <c r="AI407" s="409"/>
      <c r="AJ407" s="409"/>
      <c r="AK407" s="409"/>
      <c r="AL407" s="409"/>
      <c r="AM407" s="296">
        <f>SUM(Y407:AL407)</f>
        <v>0</v>
      </c>
    </row>
    <row r="408" spans="1:39" hidden="1" outlineLevel="1">
      <c r="A408" s="527"/>
      <c r="B408" s="428" t="s">
        <v>308</v>
      </c>
      <c r="C408" s="291" t="s">
        <v>163</v>
      </c>
      <c r="D408" s="295"/>
      <c r="E408" s="295"/>
      <c r="F408" s="295"/>
      <c r="G408" s="295"/>
      <c r="H408" s="295"/>
      <c r="I408" s="295"/>
      <c r="J408" s="295"/>
      <c r="K408" s="295"/>
      <c r="L408" s="295"/>
      <c r="M408" s="295"/>
      <c r="N408" s="759"/>
      <c r="O408" s="295"/>
      <c r="P408" s="295"/>
      <c r="Q408" s="295"/>
      <c r="R408" s="295"/>
      <c r="S408" s="295"/>
      <c r="T408" s="295"/>
      <c r="U408" s="295"/>
      <c r="V408" s="295"/>
      <c r="W408" s="295"/>
      <c r="X408" s="295"/>
      <c r="Y408" s="410">
        <f>Y407</f>
        <v>0</v>
      </c>
      <c r="Z408" s="410">
        <f t="shared" ref="Z408" si="1135">Z407</f>
        <v>0</v>
      </c>
      <c r="AA408" s="410">
        <f t="shared" ref="AA408" si="1136">AA407</f>
        <v>0</v>
      </c>
      <c r="AB408" s="410">
        <f t="shared" ref="AB408" si="1137">AB407</f>
        <v>0</v>
      </c>
      <c r="AC408" s="410">
        <f t="shared" ref="AC408" si="1138">AC407</f>
        <v>0</v>
      </c>
      <c r="AD408" s="410">
        <f t="shared" ref="AD408" si="1139">AD407</f>
        <v>0</v>
      </c>
      <c r="AE408" s="410">
        <f t="shared" ref="AE408" si="1140">AE407</f>
        <v>0</v>
      </c>
      <c r="AF408" s="410">
        <f t="shared" ref="AF408" si="1141">AF407</f>
        <v>0</v>
      </c>
      <c r="AG408" s="410">
        <f t="shared" ref="AG408" si="1142">AG407</f>
        <v>0</v>
      </c>
      <c r="AH408" s="410">
        <f t="shared" ref="AH408" si="1143">AH407</f>
        <v>0</v>
      </c>
      <c r="AI408" s="410">
        <f t="shared" ref="AI408" si="1144">AI407</f>
        <v>0</v>
      </c>
      <c r="AJ408" s="410">
        <f t="shared" ref="AJ408" si="1145">AJ407</f>
        <v>0</v>
      </c>
      <c r="AK408" s="410">
        <f t="shared" ref="AK408" si="1146">AK407</f>
        <v>0</v>
      </c>
      <c r="AL408" s="410">
        <f t="shared" ref="AL408" si="1147">AL407</f>
        <v>0</v>
      </c>
      <c r="AM408" s="297"/>
    </row>
    <row r="409" spans="1:39" ht="15.75" hidden="1" outlineLevel="1">
      <c r="A409" s="527"/>
      <c r="B409" s="520"/>
      <c r="C409" s="299"/>
      <c r="D409" s="783"/>
      <c r="E409" s="783"/>
      <c r="F409" s="783"/>
      <c r="G409" s="783"/>
      <c r="H409" s="783"/>
      <c r="I409" s="783"/>
      <c r="J409" s="783"/>
      <c r="K409" s="783"/>
      <c r="L409" s="783"/>
      <c r="M409" s="783"/>
      <c r="N409" s="761"/>
      <c r="O409" s="783"/>
      <c r="P409" s="783"/>
      <c r="Q409" s="783"/>
      <c r="R409" s="783"/>
      <c r="S409" s="783"/>
      <c r="T409" s="783"/>
      <c r="U409" s="783"/>
      <c r="V409" s="783"/>
      <c r="W409" s="783"/>
      <c r="X409" s="783"/>
      <c r="Y409" s="411"/>
      <c r="Z409" s="412"/>
      <c r="AA409" s="412"/>
      <c r="AB409" s="412"/>
      <c r="AC409" s="412"/>
      <c r="AD409" s="412"/>
      <c r="AE409" s="412"/>
      <c r="AF409" s="412"/>
      <c r="AG409" s="412"/>
      <c r="AH409" s="412"/>
      <c r="AI409" s="412"/>
      <c r="AJ409" s="412"/>
      <c r="AK409" s="412"/>
      <c r="AL409" s="412"/>
      <c r="AM409" s="302"/>
    </row>
    <row r="410" spans="1:39" ht="30" hidden="1" outlineLevel="1">
      <c r="A410" s="527">
        <v>2</v>
      </c>
      <c r="B410" s="425" t="s">
        <v>96</v>
      </c>
      <c r="C410" s="291" t="s">
        <v>25</v>
      </c>
      <c r="D410" s="295"/>
      <c r="E410" s="295"/>
      <c r="F410" s="295"/>
      <c r="G410" s="295"/>
      <c r="H410" s="295"/>
      <c r="I410" s="295"/>
      <c r="J410" s="295"/>
      <c r="K410" s="295"/>
      <c r="L410" s="295"/>
      <c r="M410" s="295"/>
      <c r="N410" s="758"/>
      <c r="O410" s="295"/>
      <c r="P410" s="295"/>
      <c r="Q410" s="295"/>
      <c r="R410" s="295"/>
      <c r="S410" s="295"/>
      <c r="T410" s="295"/>
      <c r="U410" s="295"/>
      <c r="V410" s="295"/>
      <c r="W410" s="295"/>
      <c r="X410" s="295"/>
      <c r="Y410" s="409"/>
      <c r="Z410" s="409"/>
      <c r="AA410" s="409"/>
      <c r="AB410" s="409"/>
      <c r="AC410" s="409"/>
      <c r="AD410" s="409"/>
      <c r="AE410" s="409"/>
      <c r="AF410" s="409"/>
      <c r="AG410" s="409"/>
      <c r="AH410" s="409"/>
      <c r="AI410" s="409"/>
      <c r="AJ410" s="409"/>
      <c r="AK410" s="409"/>
      <c r="AL410" s="409"/>
      <c r="AM410" s="296">
        <f>SUM(Y410:AL410)</f>
        <v>0</v>
      </c>
    </row>
    <row r="411" spans="1:39" hidden="1" outlineLevel="1">
      <c r="A411" s="527"/>
      <c r="B411" s="428" t="s">
        <v>308</v>
      </c>
      <c r="C411" s="291" t="s">
        <v>163</v>
      </c>
      <c r="D411" s="295"/>
      <c r="E411" s="295"/>
      <c r="F411" s="295"/>
      <c r="G411" s="295"/>
      <c r="H411" s="295"/>
      <c r="I411" s="295"/>
      <c r="J411" s="295"/>
      <c r="K411" s="295"/>
      <c r="L411" s="295"/>
      <c r="M411" s="295"/>
      <c r="N411" s="759"/>
      <c r="O411" s="295"/>
      <c r="P411" s="295"/>
      <c r="Q411" s="295"/>
      <c r="R411" s="295"/>
      <c r="S411" s="295"/>
      <c r="T411" s="295"/>
      <c r="U411" s="295"/>
      <c r="V411" s="295"/>
      <c r="W411" s="295"/>
      <c r="X411" s="295"/>
      <c r="Y411" s="410">
        <f>Y410</f>
        <v>0</v>
      </c>
      <c r="Z411" s="410">
        <f t="shared" ref="Z411" si="1148">Z410</f>
        <v>0</v>
      </c>
      <c r="AA411" s="410">
        <f t="shared" ref="AA411" si="1149">AA410</f>
        <v>0</v>
      </c>
      <c r="AB411" s="410">
        <f t="shared" ref="AB411" si="1150">AB410</f>
        <v>0</v>
      </c>
      <c r="AC411" s="410">
        <f t="shared" ref="AC411" si="1151">AC410</f>
        <v>0</v>
      </c>
      <c r="AD411" s="410">
        <f t="shared" ref="AD411" si="1152">AD410</f>
        <v>0</v>
      </c>
      <c r="AE411" s="410">
        <f t="shared" ref="AE411" si="1153">AE410</f>
        <v>0</v>
      </c>
      <c r="AF411" s="410">
        <f t="shared" ref="AF411" si="1154">AF410</f>
        <v>0</v>
      </c>
      <c r="AG411" s="410">
        <f t="shared" ref="AG411" si="1155">AG410</f>
        <v>0</v>
      </c>
      <c r="AH411" s="410">
        <f t="shared" ref="AH411" si="1156">AH410</f>
        <v>0</v>
      </c>
      <c r="AI411" s="410">
        <f t="shared" ref="AI411" si="1157">AI410</f>
        <v>0</v>
      </c>
      <c r="AJ411" s="410">
        <f t="shared" ref="AJ411" si="1158">AJ410</f>
        <v>0</v>
      </c>
      <c r="AK411" s="410">
        <f t="shared" ref="AK411" si="1159">AK410</f>
        <v>0</v>
      </c>
      <c r="AL411" s="410">
        <f t="shared" ref="AL411" si="1160">AL410</f>
        <v>0</v>
      </c>
      <c r="AM411" s="297"/>
    </row>
    <row r="412" spans="1:39" ht="15.75" hidden="1" outlineLevel="1">
      <c r="A412" s="527"/>
      <c r="B412" s="520"/>
      <c r="C412" s="299"/>
      <c r="D412" s="760"/>
      <c r="E412" s="760"/>
      <c r="F412" s="760"/>
      <c r="G412" s="760"/>
      <c r="H412" s="760"/>
      <c r="I412" s="760"/>
      <c r="J412" s="760"/>
      <c r="K412" s="760"/>
      <c r="L412" s="760"/>
      <c r="M412" s="760"/>
      <c r="N412" s="761"/>
      <c r="O412" s="760"/>
      <c r="P412" s="760"/>
      <c r="Q412" s="760"/>
      <c r="R412" s="760"/>
      <c r="S412" s="760"/>
      <c r="T412" s="760"/>
      <c r="U412" s="760"/>
      <c r="V412" s="760"/>
      <c r="W412" s="760"/>
      <c r="X412" s="760"/>
      <c r="Y412" s="411"/>
      <c r="Z412" s="412"/>
      <c r="AA412" s="412"/>
      <c r="AB412" s="412"/>
      <c r="AC412" s="412"/>
      <c r="AD412" s="412"/>
      <c r="AE412" s="412"/>
      <c r="AF412" s="412"/>
      <c r="AG412" s="412"/>
      <c r="AH412" s="412"/>
      <c r="AI412" s="412"/>
      <c r="AJ412" s="412"/>
      <c r="AK412" s="412"/>
      <c r="AL412" s="412"/>
      <c r="AM412" s="302"/>
    </row>
    <row r="413" spans="1:39" ht="30" hidden="1" outlineLevel="1">
      <c r="A413" s="527">
        <v>3</v>
      </c>
      <c r="B413" s="425" t="s">
        <v>97</v>
      </c>
      <c r="C413" s="291" t="s">
        <v>25</v>
      </c>
      <c r="D413" s="295"/>
      <c r="E413" s="295"/>
      <c r="F413" s="295"/>
      <c r="G413" s="295"/>
      <c r="H413" s="295"/>
      <c r="I413" s="295"/>
      <c r="J413" s="295"/>
      <c r="K413" s="295"/>
      <c r="L413" s="295"/>
      <c r="M413" s="295"/>
      <c r="N413" s="758"/>
      <c r="O413" s="295"/>
      <c r="P413" s="295"/>
      <c r="Q413" s="295"/>
      <c r="R413" s="295"/>
      <c r="S413" s="295"/>
      <c r="T413" s="295"/>
      <c r="U413" s="295"/>
      <c r="V413" s="295"/>
      <c r="W413" s="295"/>
      <c r="X413" s="295"/>
      <c r="Y413" s="409"/>
      <c r="Z413" s="409"/>
      <c r="AA413" s="409"/>
      <c r="AB413" s="409"/>
      <c r="AC413" s="409"/>
      <c r="AD413" s="409"/>
      <c r="AE413" s="409"/>
      <c r="AF413" s="409"/>
      <c r="AG413" s="409"/>
      <c r="AH413" s="409"/>
      <c r="AI413" s="409"/>
      <c r="AJ413" s="409"/>
      <c r="AK413" s="409"/>
      <c r="AL413" s="409"/>
      <c r="AM413" s="296">
        <f>SUM(Y413:AL413)</f>
        <v>0</v>
      </c>
    </row>
    <row r="414" spans="1:39" hidden="1" outlineLevel="1">
      <c r="A414" s="527"/>
      <c r="B414" s="428" t="s">
        <v>308</v>
      </c>
      <c r="C414" s="291" t="s">
        <v>163</v>
      </c>
      <c r="D414" s="295"/>
      <c r="E414" s="295"/>
      <c r="F414" s="295"/>
      <c r="G414" s="295"/>
      <c r="H414" s="295"/>
      <c r="I414" s="295"/>
      <c r="J414" s="295"/>
      <c r="K414" s="295"/>
      <c r="L414" s="295"/>
      <c r="M414" s="295"/>
      <c r="N414" s="759"/>
      <c r="O414" s="295"/>
      <c r="P414" s="295"/>
      <c r="Q414" s="295"/>
      <c r="R414" s="295"/>
      <c r="S414" s="295"/>
      <c r="T414" s="295"/>
      <c r="U414" s="295"/>
      <c r="V414" s="295"/>
      <c r="W414" s="295"/>
      <c r="X414" s="295"/>
      <c r="Y414" s="410">
        <f>Y413</f>
        <v>0</v>
      </c>
      <c r="Z414" s="410">
        <f t="shared" ref="Z414" si="1161">Z413</f>
        <v>0</v>
      </c>
      <c r="AA414" s="410">
        <f t="shared" ref="AA414" si="1162">AA413</f>
        <v>0</v>
      </c>
      <c r="AB414" s="410">
        <f t="shared" ref="AB414" si="1163">AB413</f>
        <v>0</v>
      </c>
      <c r="AC414" s="410">
        <f t="shared" ref="AC414" si="1164">AC413</f>
        <v>0</v>
      </c>
      <c r="AD414" s="410">
        <f t="shared" ref="AD414" si="1165">AD413</f>
        <v>0</v>
      </c>
      <c r="AE414" s="410">
        <f t="shared" ref="AE414" si="1166">AE413</f>
        <v>0</v>
      </c>
      <c r="AF414" s="410">
        <f t="shared" ref="AF414" si="1167">AF413</f>
        <v>0</v>
      </c>
      <c r="AG414" s="410">
        <f t="shared" ref="AG414" si="1168">AG413</f>
        <v>0</v>
      </c>
      <c r="AH414" s="410">
        <f t="shared" ref="AH414" si="1169">AH413</f>
        <v>0</v>
      </c>
      <c r="AI414" s="410">
        <f t="shared" ref="AI414" si="1170">AI413</f>
        <v>0</v>
      </c>
      <c r="AJ414" s="410">
        <f t="shared" ref="AJ414" si="1171">AJ413</f>
        <v>0</v>
      </c>
      <c r="AK414" s="410">
        <f t="shared" ref="AK414" si="1172">AK413</f>
        <v>0</v>
      </c>
      <c r="AL414" s="410">
        <f t="shared" ref="AL414" si="1173">AL413</f>
        <v>0</v>
      </c>
      <c r="AM414" s="297"/>
    </row>
    <row r="415" spans="1:39" hidden="1" outlineLevel="1">
      <c r="A415" s="527"/>
      <c r="B415" s="428"/>
      <c r="C415" s="305"/>
      <c r="D415" s="758"/>
      <c r="E415" s="758"/>
      <c r="F415" s="758"/>
      <c r="G415" s="758"/>
      <c r="H415" s="758"/>
      <c r="I415" s="758"/>
      <c r="J415" s="758"/>
      <c r="K415" s="758"/>
      <c r="L415" s="758"/>
      <c r="M415" s="758"/>
      <c r="N415" s="758"/>
      <c r="O415" s="758"/>
      <c r="P415" s="758"/>
      <c r="Q415" s="758"/>
      <c r="R415" s="758"/>
      <c r="S415" s="758"/>
      <c r="T415" s="758"/>
      <c r="U415" s="758"/>
      <c r="V415" s="758"/>
      <c r="W415" s="758"/>
      <c r="X415" s="758"/>
      <c r="Y415" s="411"/>
      <c r="Z415" s="411"/>
      <c r="AA415" s="411"/>
      <c r="AB415" s="411"/>
      <c r="AC415" s="411"/>
      <c r="AD415" s="411"/>
      <c r="AE415" s="411"/>
      <c r="AF415" s="411"/>
      <c r="AG415" s="411"/>
      <c r="AH415" s="411"/>
      <c r="AI415" s="411"/>
      <c r="AJ415" s="411"/>
      <c r="AK415" s="411"/>
      <c r="AL415" s="411"/>
      <c r="AM415" s="306"/>
    </row>
    <row r="416" spans="1:39" hidden="1" outlineLevel="1">
      <c r="A416" s="527">
        <v>4</v>
      </c>
      <c r="B416" s="515" t="s">
        <v>672</v>
      </c>
      <c r="C416" s="291" t="s">
        <v>25</v>
      </c>
      <c r="D416" s="295"/>
      <c r="E416" s="295"/>
      <c r="F416" s="295"/>
      <c r="G416" s="295"/>
      <c r="H416" s="295"/>
      <c r="I416" s="295"/>
      <c r="J416" s="295"/>
      <c r="K416" s="295"/>
      <c r="L416" s="295"/>
      <c r="M416" s="295"/>
      <c r="N416" s="758"/>
      <c r="O416" s="295"/>
      <c r="P416" s="295"/>
      <c r="Q416" s="295"/>
      <c r="R416" s="295"/>
      <c r="S416" s="295"/>
      <c r="T416" s="295"/>
      <c r="U416" s="295"/>
      <c r="V416" s="295"/>
      <c r="W416" s="295"/>
      <c r="X416" s="295"/>
      <c r="Y416" s="409"/>
      <c r="Z416" s="409"/>
      <c r="AA416" s="409"/>
      <c r="AB416" s="409"/>
      <c r="AC416" s="409"/>
      <c r="AD416" s="409"/>
      <c r="AE416" s="409"/>
      <c r="AF416" s="409"/>
      <c r="AG416" s="409"/>
      <c r="AH416" s="409"/>
      <c r="AI416" s="409"/>
      <c r="AJ416" s="409"/>
      <c r="AK416" s="409"/>
      <c r="AL416" s="409"/>
      <c r="AM416" s="296">
        <f>SUM(Y416:AL416)</f>
        <v>0</v>
      </c>
    </row>
    <row r="417" spans="1:39" hidden="1" outlineLevel="1">
      <c r="A417" s="527"/>
      <c r="B417" s="428" t="s">
        <v>308</v>
      </c>
      <c r="C417" s="291" t="s">
        <v>163</v>
      </c>
      <c r="D417" s="295"/>
      <c r="E417" s="295"/>
      <c r="F417" s="295"/>
      <c r="G417" s="295"/>
      <c r="H417" s="295"/>
      <c r="I417" s="295"/>
      <c r="J417" s="295"/>
      <c r="K417" s="295"/>
      <c r="L417" s="295"/>
      <c r="M417" s="295"/>
      <c r="N417" s="759"/>
      <c r="O417" s="295"/>
      <c r="P417" s="295"/>
      <c r="Q417" s="295"/>
      <c r="R417" s="295"/>
      <c r="S417" s="295"/>
      <c r="T417" s="295"/>
      <c r="U417" s="295"/>
      <c r="V417" s="295"/>
      <c r="W417" s="295"/>
      <c r="X417" s="295"/>
      <c r="Y417" s="410">
        <f>Y416</f>
        <v>0</v>
      </c>
      <c r="Z417" s="410">
        <f t="shared" ref="Z417" si="1174">Z416</f>
        <v>0</v>
      </c>
      <c r="AA417" s="410">
        <f t="shared" ref="AA417" si="1175">AA416</f>
        <v>0</v>
      </c>
      <c r="AB417" s="410">
        <f t="shared" ref="AB417" si="1176">AB416</f>
        <v>0</v>
      </c>
      <c r="AC417" s="410">
        <f t="shared" ref="AC417" si="1177">AC416</f>
        <v>0</v>
      </c>
      <c r="AD417" s="410">
        <f t="shared" ref="AD417" si="1178">AD416</f>
        <v>0</v>
      </c>
      <c r="AE417" s="410">
        <f t="shared" ref="AE417" si="1179">AE416</f>
        <v>0</v>
      </c>
      <c r="AF417" s="410">
        <f t="shared" ref="AF417" si="1180">AF416</f>
        <v>0</v>
      </c>
      <c r="AG417" s="410">
        <f t="shared" ref="AG417" si="1181">AG416</f>
        <v>0</v>
      </c>
      <c r="AH417" s="410">
        <f t="shared" ref="AH417" si="1182">AH416</f>
        <v>0</v>
      </c>
      <c r="AI417" s="410">
        <f t="shared" ref="AI417" si="1183">AI416</f>
        <v>0</v>
      </c>
      <c r="AJ417" s="410">
        <f t="shared" ref="AJ417" si="1184">AJ416</f>
        <v>0</v>
      </c>
      <c r="AK417" s="410">
        <f t="shared" ref="AK417" si="1185">AK416</f>
        <v>0</v>
      </c>
      <c r="AL417" s="410">
        <f t="shared" ref="AL417" si="1186">AL416</f>
        <v>0</v>
      </c>
      <c r="AM417" s="297"/>
    </row>
    <row r="418" spans="1:39" hidden="1" outlineLevel="1">
      <c r="A418" s="527"/>
      <c r="B418" s="428"/>
      <c r="C418" s="305"/>
      <c r="D418" s="760"/>
      <c r="E418" s="760"/>
      <c r="F418" s="760"/>
      <c r="G418" s="760"/>
      <c r="H418" s="760"/>
      <c r="I418" s="760"/>
      <c r="J418" s="760"/>
      <c r="K418" s="760"/>
      <c r="L418" s="760"/>
      <c r="M418" s="760"/>
      <c r="N418" s="758"/>
      <c r="O418" s="760"/>
      <c r="P418" s="760"/>
      <c r="Q418" s="760"/>
      <c r="R418" s="760"/>
      <c r="S418" s="760"/>
      <c r="T418" s="760"/>
      <c r="U418" s="760"/>
      <c r="V418" s="760"/>
      <c r="W418" s="760"/>
      <c r="X418" s="760"/>
      <c r="Y418" s="411"/>
      <c r="Z418" s="411"/>
      <c r="AA418" s="411"/>
      <c r="AB418" s="411"/>
      <c r="AC418" s="411"/>
      <c r="AD418" s="411"/>
      <c r="AE418" s="411"/>
      <c r="AF418" s="411"/>
      <c r="AG418" s="411"/>
      <c r="AH418" s="411"/>
      <c r="AI418" s="411"/>
      <c r="AJ418" s="411"/>
      <c r="AK418" s="411"/>
      <c r="AL418" s="411"/>
      <c r="AM418" s="306"/>
    </row>
    <row r="419" spans="1:39" ht="45" hidden="1" outlineLevel="1">
      <c r="A419" s="527">
        <v>5</v>
      </c>
      <c r="B419" s="425" t="s">
        <v>98</v>
      </c>
      <c r="C419" s="291" t="s">
        <v>25</v>
      </c>
      <c r="D419" s="295"/>
      <c r="E419" s="295"/>
      <c r="F419" s="295"/>
      <c r="G419" s="295"/>
      <c r="H419" s="295"/>
      <c r="I419" s="295"/>
      <c r="J419" s="295"/>
      <c r="K419" s="295"/>
      <c r="L419" s="295"/>
      <c r="M419" s="295"/>
      <c r="N419" s="758"/>
      <c r="O419" s="295"/>
      <c r="P419" s="295"/>
      <c r="Q419" s="295"/>
      <c r="R419" s="295"/>
      <c r="S419" s="295"/>
      <c r="T419" s="295"/>
      <c r="U419" s="295"/>
      <c r="V419" s="295"/>
      <c r="W419" s="295"/>
      <c r="X419" s="295"/>
      <c r="Y419" s="409"/>
      <c r="Z419" s="409"/>
      <c r="AA419" s="409"/>
      <c r="AB419" s="409"/>
      <c r="AC419" s="409"/>
      <c r="AD419" s="409"/>
      <c r="AE419" s="409"/>
      <c r="AF419" s="409"/>
      <c r="AG419" s="409"/>
      <c r="AH419" s="409"/>
      <c r="AI419" s="409"/>
      <c r="AJ419" s="409"/>
      <c r="AK419" s="409"/>
      <c r="AL419" s="409"/>
      <c r="AM419" s="296">
        <f>SUM(Y419:AL419)</f>
        <v>0</v>
      </c>
    </row>
    <row r="420" spans="1:39" hidden="1" outlineLevel="1">
      <c r="A420" s="527"/>
      <c r="B420" s="428" t="s">
        <v>308</v>
      </c>
      <c r="C420" s="291" t="s">
        <v>163</v>
      </c>
      <c r="D420" s="295"/>
      <c r="E420" s="295"/>
      <c r="F420" s="295"/>
      <c r="G420" s="295"/>
      <c r="H420" s="295"/>
      <c r="I420" s="295"/>
      <c r="J420" s="295"/>
      <c r="K420" s="295"/>
      <c r="L420" s="295"/>
      <c r="M420" s="295"/>
      <c r="N420" s="759"/>
      <c r="O420" s="295"/>
      <c r="P420" s="295"/>
      <c r="Q420" s="295"/>
      <c r="R420" s="295"/>
      <c r="S420" s="295"/>
      <c r="T420" s="295"/>
      <c r="U420" s="295"/>
      <c r="V420" s="295"/>
      <c r="W420" s="295"/>
      <c r="X420" s="295"/>
      <c r="Y420" s="410">
        <f>Y419</f>
        <v>0</v>
      </c>
      <c r="Z420" s="410">
        <f t="shared" ref="Z420" si="1187">Z419</f>
        <v>0</v>
      </c>
      <c r="AA420" s="410">
        <f t="shared" ref="AA420" si="1188">AA419</f>
        <v>0</v>
      </c>
      <c r="AB420" s="410">
        <f t="shared" ref="AB420" si="1189">AB419</f>
        <v>0</v>
      </c>
      <c r="AC420" s="410">
        <f t="shared" ref="AC420" si="1190">AC419</f>
        <v>0</v>
      </c>
      <c r="AD420" s="410">
        <f t="shared" ref="AD420" si="1191">AD419</f>
        <v>0</v>
      </c>
      <c r="AE420" s="410">
        <f t="shared" ref="AE420" si="1192">AE419</f>
        <v>0</v>
      </c>
      <c r="AF420" s="410">
        <f t="shared" ref="AF420" si="1193">AF419</f>
        <v>0</v>
      </c>
      <c r="AG420" s="410">
        <f t="shared" ref="AG420" si="1194">AG419</f>
        <v>0</v>
      </c>
      <c r="AH420" s="410">
        <f t="shared" ref="AH420" si="1195">AH419</f>
        <v>0</v>
      </c>
      <c r="AI420" s="410">
        <f t="shared" ref="AI420" si="1196">AI419</f>
        <v>0</v>
      </c>
      <c r="AJ420" s="410">
        <f t="shared" ref="AJ420" si="1197">AJ419</f>
        <v>0</v>
      </c>
      <c r="AK420" s="410">
        <f t="shared" ref="AK420" si="1198">AK419</f>
        <v>0</v>
      </c>
      <c r="AL420" s="410">
        <f t="shared" ref="AL420" si="1199">AL419</f>
        <v>0</v>
      </c>
      <c r="AM420" s="297"/>
    </row>
    <row r="421" spans="1:39" hidden="1" outlineLevel="1">
      <c r="A421" s="527"/>
      <c r="B421" s="428"/>
      <c r="C421" s="291"/>
      <c r="D421" s="758"/>
      <c r="E421" s="758"/>
      <c r="F421" s="758"/>
      <c r="G421" s="758"/>
      <c r="H421" s="758"/>
      <c r="I421" s="758"/>
      <c r="J421" s="758"/>
      <c r="K421" s="758"/>
      <c r="L421" s="758"/>
      <c r="M421" s="758"/>
      <c r="N421" s="758"/>
      <c r="O421" s="758"/>
      <c r="P421" s="758"/>
      <c r="Q421" s="758"/>
      <c r="R421" s="758"/>
      <c r="S421" s="758"/>
      <c r="T421" s="758"/>
      <c r="U421" s="758"/>
      <c r="V421" s="758"/>
      <c r="W421" s="758"/>
      <c r="X421" s="758"/>
      <c r="Y421" s="419"/>
      <c r="Z421" s="420"/>
      <c r="AA421" s="420"/>
      <c r="AB421" s="420"/>
      <c r="AC421" s="420"/>
      <c r="AD421" s="420"/>
      <c r="AE421" s="420"/>
      <c r="AF421" s="420"/>
      <c r="AG421" s="420"/>
      <c r="AH421" s="420"/>
      <c r="AI421" s="420"/>
      <c r="AJ421" s="420"/>
      <c r="AK421" s="420"/>
      <c r="AL421" s="420"/>
      <c r="AM421" s="297"/>
    </row>
    <row r="422" spans="1:39" ht="31.5" hidden="1" outlineLevel="1">
      <c r="A422" s="527"/>
      <c r="B422" s="509" t="s">
        <v>498</v>
      </c>
      <c r="C422" s="289"/>
      <c r="D422" s="762"/>
      <c r="E422" s="762"/>
      <c r="F422" s="762"/>
      <c r="G422" s="762"/>
      <c r="H422" s="762"/>
      <c r="I422" s="762"/>
      <c r="J422" s="762"/>
      <c r="K422" s="762"/>
      <c r="L422" s="762"/>
      <c r="M422" s="762"/>
      <c r="N422" s="763"/>
      <c r="O422" s="762"/>
      <c r="P422" s="762"/>
      <c r="Q422" s="762"/>
      <c r="R422" s="762"/>
      <c r="S422" s="762"/>
      <c r="T422" s="762"/>
      <c r="U422" s="762"/>
      <c r="V422" s="762"/>
      <c r="W422" s="762"/>
      <c r="X422" s="762"/>
      <c r="Y422" s="413"/>
      <c r="Z422" s="413"/>
      <c r="AA422" s="413"/>
      <c r="AB422" s="413"/>
      <c r="AC422" s="413"/>
      <c r="AD422" s="413"/>
      <c r="AE422" s="413"/>
      <c r="AF422" s="413"/>
      <c r="AG422" s="413"/>
      <c r="AH422" s="413"/>
      <c r="AI422" s="413"/>
      <c r="AJ422" s="413"/>
      <c r="AK422" s="413"/>
      <c r="AL422" s="413"/>
      <c r="AM422" s="292"/>
    </row>
    <row r="423" spans="1:39" hidden="1" outlineLevel="1">
      <c r="A423" s="527">
        <v>6</v>
      </c>
      <c r="B423" s="425"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4"/>
      <c r="Z423" s="409"/>
      <c r="AA423" s="409"/>
      <c r="AB423" s="409"/>
      <c r="AC423" s="409"/>
      <c r="AD423" s="409"/>
      <c r="AE423" s="409"/>
      <c r="AF423" s="414"/>
      <c r="AG423" s="414"/>
      <c r="AH423" s="414"/>
      <c r="AI423" s="414"/>
      <c r="AJ423" s="414"/>
      <c r="AK423" s="414"/>
      <c r="AL423" s="414"/>
      <c r="AM423" s="296">
        <f>SUM(Y423:AL423)</f>
        <v>0</v>
      </c>
    </row>
    <row r="424" spans="1:39" hidden="1" outlineLevel="1">
      <c r="A424" s="527"/>
      <c r="B424" s="428"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0">
        <f>Y423</f>
        <v>0</v>
      </c>
      <c r="Z424" s="410">
        <f t="shared" ref="Z424" si="1200">Z423</f>
        <v>0</v>
      </c>
      <c r="AA424" s="410">
        <f t="shared" ref="AA424" si="1201">AA423</f>
        <v>0</v>
      </c>
      <c r="AB424" s="410">
        <f t="shared" ref="AB424" si="1202">AB423</f>
        <v>0</v>
      </c>
      <c r="AC424" s="410">
        <f t="shared" ref="AC424" si="1203">AC423</f>
        <v>0</v>
      </c>
      <c r="AD424" s="410">
        <f t="shared" ref="AD424" si="1204">AD423</f>
        <v>0</v>
      </c>
      <c r="AE424" s="410">
        <f t="shared" ref="AE424" si="1205">AE423</f>
        <v>0</v>
      </c>
      <c r="AF424" s="410">
        <f t="shared" ref="AF424" si="1206">AF423</f>
        <v>0</v>
      </c>
      <c r="AG424" s="410">
        <f t="shared" ref="AG424" si="1207">AG423</f>
        <v>0</v>
      </c>
      <c r="AH424" s="410">
        <f t="shared" ref="AH424" si="1208">AH423</f>
        <v>0</v>
      </c>
      <c r="AI424" s="410">
        <f t="shared" ref="AI424" si="1209">AI423</f>
        <v>0</v>
      </c>
      <c r="AJ424" s="410">
        <f t="shared" ref="AJ424" si="1210">AJ423</f>
        <v>0</v>
      </c>
      <c r="AK424" s="410">
        <f t="shared" ref="AK424" si="1211">AK423</f>
        <v>0</v>
      </c>
      <c r="AL424" s="410">
        <f t="shared" ref="AL424" si="1212">AL423</f>
        <v>0</v>
      </c>
      <c r="AM424" s="311"/>
    </row>
    <row r="425" spans="1:39" hidden="1" outlineLevel="1">
      <c r="A425" s="527"/>
      <c r="B425" s="521"/>
      <c r="C425" s="312"/>
      <c r="D425" s="758"/>
      <c r="E425" s="758"/>
      <c r="F425" s="758"/>
      <c r="G425" s="758"/>
      <c r="H425" s="758"/>
      <c r="I425" s="758"/>
      <c r="J425" s="758"/>
      <c r="K425" s="758"/>
      <c r="L425" s="758"/>
      <c r="M425" s="758"/>
      <c r="N425" s="758"/>
      <c r="O425" s="758"/>
      <c r="P425" s="758"/>
      <c r="Q425" s="758"/>
      <c r="R425" s="758"/>
      <c r="S425" s="758"/>
      <c r="T425" s="758"/>
      <c r="U425" s="758"/>
      <c r="V425" s="758"/>
      <c r="W425" s="758"/>
      <c r="X425" s="758"/>
      <c r="Y425" s="415"/>
      <c r="Z425" s="415"/>
      <c r="AA425" s="415"/>
      <c r="AB425" s="415"/>
      <c r="AC425" s="415"/>
      <c r="AD425" s="415"/>
      <c r="AE425" s="415"/>
      <c r="AF425" s="415"/>
      <c r="AG425" s="415"/>
      <c r="AH425" s="415"/>
      <c r="AI425" s="415"/>
      <c r="AJ425" s="415"/>
      <c r="AK425" s="415"/>
      <c r="AL425" s="415"/>
      <c r="AM425" s="313"/>
    </row>
    <row r="426" spans="1:39" ht="45" hidden="1" outlineLevel="1">
      <c r="A426" s="527">
        <v>7</v>
      </c>
      <c r="B426" s="425"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4"/>
      <c r="Z426" s="409"/>
      <c r="AA426" s="409"/>
      <c r="AB426" s="409"/>
      <c r="AC426" s="409"/>
      <c r="AD426" s="409"/>
      <c r="AE426" s="409"/>
      <c r="AF426" s="414"/>
      <c r="AG426" s="414"/>
      <c r="AH426" s="414"/>
      <c r="AI426" s="414"/>
      <c r="AJ426" s="414"/>
      <c r="AK426" s="414"/>
      <c r="AL426" s="414"/>
      <c r="AM426" s="296">
        <f>SUM(Y426:AL426)</f>
        <v>0</v>
      </c>
    </row>
    <row r="427" spans="1:39" hidden="1" outlineLevel="1">
      <c r="A427" s="527"/>
      <c r="B427" s="428"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0">
        <f>Y426</f>
        <v>0</v>
      </c>
      <c r="Z427" s="410">
        <f t="shared" ref="Z427" si="1213">Z426</f>
        <v>0</v>
      </c>
      <c r="AA427" s="410">
        <f t="shared" ref="AA427" si="1214">AA426</f>
        <v>0</v>
      </c>
      <c r="AB427" s="410">
        <f t="shared" ref="AB427" si="1215">AB426</f>
        <v>0</v>
      </c>
      <c r="AC427" s="410">
        <f t="shared" ref="AC427" si="1216">AC426</f>
        <v>0</v>
      </c>
      <c r="AD427" s="410">
        <f t="shared" ref="AD427" si="1217">AD426</f>
        <v>0</v>
      </c>
      <c r="AE427" s="410">
        <f t="shared" ref="AE427" si="1218">AE426</f>
        <v>0</v>
      </c>
      <c r="AF427" s="410">
        <f t="shared" ref="AF427" si="1219">AF426</f>
        <v>0</v>
      </c>
      <c r="AG427" s="410">
        <f t="shared" ref="AG427" si="1220">AG426</f>
        <v>0</v>
      </c>
      <c r="AH427" s="410">
        <f t="shared" ref="AH427" si="1221">AH426</f>
        <v>0</v>
      </c>
      <c r="AI427" s="410">
        <f t="shared" ref="AI427" si="1222">AI426</f>
        <v>0</v>
      </c>
      <c r="AJ427" s="410">
        <f t="shared" ref="AJ427" si="1223">AJ426</f>
        <v>0</v>
      </c>
      <c r="AK427" s="410">
        <f t="shared" ref="AK427" si="1224">AK426</f>
        <v>0</v>
      </c>
      <c r="AL427" s="410">
        <f t="shared" ref="AL427" si="1225">AL426</f>
        <v>0</v>
      </c>
      <c r="AM427" s="311"/>
    </row>
    <row r="428" spans="1:39" hidden="1" outlineLevel="1">
      <c r="A428" s="527"/>
      <c r="B428" s="522"/>
      <c r="C428" s="312"/>
      <c r="D428" s="758"/>
      <c r="E428" s="758"/>
      <c r="F428" s="758"/>
      <c r="G428" s="758"/>
      <c r="H428" s="758"/>
      <c r="I428" s="758"/>
      <c r="J428" s="758"/>
      <c r="K428" s="758"/>
      <c r="L428" s="758"/>
      <c r="M428" s="758"/>
      <c r="N428" s="758"/>
      <c r="O428" s="758"/>
      <c r="P428" s="758"/>
      <c r="Q428" s="758"/>
      <c r="R428" s="758"/>
      <c r="S428" s="758"/>
      <c r="T428" s="758"/>
      <c r="U428" s="758"/>
      <c r="V428" s="758"/>
      <c r="W428" s="758"/>
      <c r="X428" s="758"/>
      <c r="Y428" s="415"/>
      <c r="Z428" s="416"/>
      <c r="AA428" s="415"/>
      <c r="AB428" s="415"/>
      <c r="AC428" s="415"/>
      <c r="AD428" s="415"/>
      <c r="AE428" s="415"/>
      <c r="AF428" s="415"/>
      <c r="AG428" s="415"/>
      <c r="AH428" s="415"/>
      <c r="AI428" s="415"/>
      <c r="AJ428" s="415"/>
      <c r="AK428" s="415"/>
      <c r="AL428" s="415"/>
      <c r="AM428" s="313"/>
    </row>
    <row r="429" spans="1:39" ht="30" hidden="1" outlineLevel="1">
      <c r="A429" s="527">
        <v>8</v>
      </c>
      <c r="B429" s="425"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4"/>
      <c r="Z429" s="409"/>
      <c r="AA429" s="409"/>
      <c r="AB429" s="409"/>
      <c r="AC429" s="409"/>
      <c r="AD429" s="409"/>
      <c r="AE429" s="409"/>
      <c r="AF429" s="414"/>
      <c r="AG429" s="414"/>
      <c r="AH429" s="414"/>
      <c r="AI429" s="414"/>
      <c r="AJ429" s="414"/>
      <c r="AK429" s="414"/>
      <c r="AL429" s="414"/>
      <c r="AM429" s="296">
        <f>SUM(Y429:AL429)</f>
        <v>0</v>
      </c>
    </row>
    <row r="430" spans="1:39" hidden="1" outlineLevel="1">
      <c r="A430" s="527"/>
      <c r="B430" s="428"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0">
        <f>Y429</f>
        <v>0</v>
      </c>
      <c r="Z430" s="410">
        <f t="shared" ref="Z430" si="1226">Z429</f>
        <v>0</v>
      </c>
      <c r="AA430" s="410">
        <f t="shared" ref="AA430" si="1227">AA429</f>
        <v>0</v>
      </c>
      <c r="AB430" s="410">
        <f t="shared" ref="AB430" si="1228">AB429</f>
        <v>0</v>
      </c>
      <c r="AC430" s="410">
        <f t="shared" ref="AC430" si="1229">AC429</f>
        <v>0</v>
      </c>
      <c r="AD430" s="410">
        <f t="shared" ref="AD430" si="1230">AD429</f>
        <v>0</v>
      </c>
      <c r="AE430" s="410">
        <f t="shared" ref="AE430" si="1231">AE429</f>
        <v>0</v>
      </c>
      <c r="AF430" s="410">
        <f t="shared" ref="AF430" si="1232">AF429</f>
        <v>0</v>
      </c>
      <c r="AG430" s="410">
        <f t="shared" ref="AG430" si="1233">AG429</f>
        <v>0</v>
      </c>
      <c r="AH430" s="410">
        <f t="shared" ref="AH430" si="1234">AH429</f>
        <v>0</v>
      </c>
      <c r="AI430" s="410">
        <f t="shared" ref="AI430" si="1235">AI429</f>
        <v>0</v>
      </c>
      <c r="AJ430" s="410">
        <f t="shared" ref="AJ430" si="1236">AJ429</f>
        <v>0</v>
      </c>
      <c r="AK430" s="410">
        <f t="shared" ref="AK430" si="1237">AK429</f>
        <v>0</v>
      </c>
      <c r="AL430" s="410">
        <f t="shared" ref="AL430" si="1238">AL429</f>
        <v>0</v>
      </c>
      <c r="AM430" s="311"/>
    </row>
    <row r="431" spans="1:39" hidden="1" outlineLevel="1">
      <c r="A431" s="527"/>
      <c r="B431" s="522"/>
      <c r="C431" s="312"/>
      <c r="D431" s="764"/>
      <c r="E431" s="764"/>
      <c r="F431" s="764"/>
      <c r="G431" s="764"/>
      <c r="H431" s="764"/>
      <c r="I431" s="764"/>
      <c r="J431" s="764"/>
      <c r="K431" s="764"/>
      <c r="L431" s="764"/>
      <c r="M431" s="764"/>
      <c r="N431" s="758"/>
      <c r="O431" s="764"/>
      <c r="P431" s="764"/>
      <c r="Q431" s="764"/>
      <c r="R431" s="764"/>
      <c r="S431" s="764"/>
      <c r="T431" s="764"/>
      <c r="U431" s="764"/>
      <c r="V431" s="764"/>
      <c r="W431" s="764"/>
      <c r="X431" s="764"/>
      <c r="Y431" s="415"/>
      <c r="Z431" s="416"/>
      <c r="AA431" s="415"/>
      <c r="AB431" s="415"/>
      <c r="AC431" s="415"/>
      <c r="AD431" s="415"/>
      <c r="AE431" s="415"/>
      <c r="AF431" s="415"/>
      <c r="AG431" s="415"/>
      <c r="AH431" s="415"/>
      <c r="AI431" s="415"/>
      <c r="AJ431" s="415"/>
      <c r="AK431" s="415"/>
      <c r="AL431" s="415"/>
      <c r="AM431" s="313"/>
    </row>
    <row r="432" spans="1:39" ht="30" hidden="1" outlineLevel="1">
      <c r="A432" s="527">
        <v>9</v>
      </c>
      <c r="B432" s="425"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4"/>
      <c r="Z432" s="409"/>
      <c r="AA432" s="409"/>
      <c r="AB432" s="409"/>
      <c r="AC432" s="409"/>
      <c r="AD432" s="409"/>
      <c r="AE432" s="409"/>
      <c r="AF432" s="414"/>
      <c r="AG432" s="414"/>
      <c r="AH432" s="414"/>
      <c r="AI432" s="414"/>
      <c r="AJ432" s="414"/>
      <c r="AK432" s="414"/>
      <c r="AL432" s="414"/>
      <c r="AM432" s="296">
        <f>SUM(Y432:AL432)</f>
        <v>0</v>
      </c>
    </row>
    <row r="433" spans="1:39" hidden="1" outlineLevel="1">
      <c r="A433" s="527"/>
      <c r="B433" s="428"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0">
        <f>Y432</f>
        <v>0</v>
      </c>
      <c r="Z433" s="410">
        <f t="shared" ref="Z433" si="1239">Z432</f>
        <v>0</v>
      </c>
      <c r="AA433" s="410">
        <f t="shared" ref="AA433" si="1240">AA432</f>
        <v>0</v>
      </c>
      <c r="AB433" s="410">
        <f t="shared" ref="AB433" si="1241">AB432</f>
        <v>0</v>
      </c>
      <c r="AC433" s="410">
        <f t="shared" ref="AC433" si="1242">AC432</f>
        <v>0</v>
      </c>
      <c r="AD433" s="410">
        <f t="shared" ref="AD433" si="1243">AD432</f>
        <v>0</v>
      </c>
      <c r="AE433" s="410">
        <f t="shared" ref="AE433" si="1244">AE432</f>
        <v>0</v>
      </c>
      <c r="AF433" s="410">
        <f t="shared" ref="AF433" si="1245">AF432</f>
        <v>0</v>
      </c>
      <c r="AG433" s="410">
        <f t="shared" ref="AG433" si="1246">AG432</f>
        <v>0</v>
      </c>
      <c r="AH433" s="410">
        <f t="shared" ref="AH433" si="1247">AH432</f>
        <v>0</v>
      </c>
      <c r="AI433" s="410">
        <f t="shared" ref="AI433" si="1248">AI432</f>
        <v>0</v>
      </c>
      <c r="AJ433" s="410">
        <f t="shared" ref="AJ433" si="1249">AJ432</f>
        <v>0</v>
      </c>
      <c r="AK433" s="410">
        <f t="shared" ref="AK433" si="1250">AK432</f>
        <v>0</v>
      </c>
      <c r="AL433" s="410">
        <f t="shared" ref="AL433" si="1251">AL432</f>
        <v>0</v>
      </c>
      <c r="AM433" s="311"/>
    </row>
    <row r="434" spans="1:39" hidden="1" outlineLevel="1">
      <c r="A434" s="527"/>
      <c r="B434" s="522"/>
      <c r="C434" s="312"/>
      <c r="D434" s="764"/>
      <c r="E434" s="764"/>
      <c r="F434" s="764"/>
      <c r="G434" s="764"/>
      <c r="H434" s="764"/>
      <c r="I434" s="764"/>
      <c r="J434" s="764"/>
      <c r="K434" s="764"/>
      <c r="L434" s="764"/>
      <c r="M434" s="764"/>
      <c r="N434" s="758"/>
      <c r="O434" s="764"/>
      <c r="P434" s="764"/>
      <c r="Q434" s="764"/>
      <c r="R434" s="764"/>
      <c r="S434" s="764"/>
      <c r="T434" s="764"/>
      <c r="U434" s="764"/>
      <c r="V434" s="764"/>
      <c r="W434" s="764"/>
      <c r="X434" s="764"/>
      <c r="Y434" s="415"/>
      <c r="Z434" s="415"/>
      <c r="AA434" s="415"/>
      <c r="AB434" s="415"/>
      <c r="AC434" s="415"/>
      <c r="AD434" s="415"/>
      <c r="AE434" s="415"/>
      <c r="AF434" s="415"/>
      <c r="AG434" s="415"/>
      <c r="AH434" s="415"/>
      <c r="AI434" s="415"/>
      <c r="AJ434" s="415"/>
      <c r="AK434" s="415"/>
      <c r="AL434" s="415"/>
      <c r="AM434" s="313"/>
    </row>
    <row r="435" spans="1:39" ht="45" hidden="1" outlineLevel="1">
      <c r="A435" s="527">
        <v>10</v>
      </c>
      <c r="B435" s="425"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4"/>
      <c r="Z435" s="409"/>
      <c r="AA435" s="409"/>
      <c r="AB435" s="409"/>
      <c r="AC435" s="409"/>
      <c r="AD435" s="409"/>
      <c r="AE435" s="409"/>
      <c r="AF435" s="414"/>
      <c r="AG435" s="414"/>
      <c r="AH435" s="414"/>
      <c r="AI435" s="414"/>
      <c r="AJ435" s="414"/>
      <c r="AK435" s="414"/>
      <c r="AL435" s="414"/>
      <c r="AM435" s="296">
        <f>SUM(Y435:AL435)</f>
        <v>0</v>
      </c>
    </row>
    <row r="436" spans="1:39" hidden="1" outlineLevel="1">
      <c r="A436" s="527"/>
      <c r="B436" s="428"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0">
        <f>Y435</f>
        <v>0</v>
      </c>
      <c r="Z436" s="410">
        <f t="shared" ref="Z436" si="1252">Z435</f>
        <v>0</v>
      </c>
      <c r="AA436" s="410">
        <f t="shared" ref="AA436" si="1253">AA435</f>
        <v>0</v>
      </c>
      <c r="AB436" s="410">
        <f t="shared" ref="AB436" si="1254">AB435</f>
        <v>0</v>
      </c>
      <c r="AC436" s="410">
        <f t="shared" ref="AC436" si="1255">AC435</f>
        <v>0</v>
      </c>
      <c r="AD436" s="410">
        <f t="shared" ref="AD436" si="1256">AD435</f>
        <v>0</v>
      </c>
      <c r="AE436" s="410">
        <f t="shared" ref="AE436" si="1257">AE435</f>
        <v>0</v>
      </c>
      <c r="AF436" s="410">
        <f t="shared" ref="AF436" si="1258">AF435</f>
        <v>0</v>
      </c>
      <c r="AG436" s="410">
        <f t="shared" ref="AG436" si="1259">AG435</f>
        <v>0</v>
      </c>
      <c r="AH436" s="410">
        <f t="shared" ref="AH436" si="1260">AH435</f>
        <v>0</v>
      </c>
      <c r="AI436" s="410">
        <f t="shared" ref="AI436" si="1261">AI435</f>
        <v>0</v>
      </c>
      <c r="AJ436" s="410">
        <f t="shared" ref="AJ436" si="1262">AJ435</f>
        <v>0</v>
      </c>
      <c r="AK436" s="410">
        <f t="shared" ref="AK436" si="1263">AK435</f>
        <v>0</v>
      </c>
      <c r="AL436" s="410">
        <f t="shared" ref="AL436" si="1264">AL435</f>
        <v>0</v>
      </c>
      <c r="AM436" s="311"/>
    </row>
    <row r="437" spans="1:39" hidden="1" outlineLevel="1">
      <c r="A437" s="527"/>
      <c r="B437" s="522"/>
      <c r="C437" s="312"/>
      <c r="D437" s="764"/>
      <c r="E437" s="764"/>
      <c r="F437" s="764"/>
      <c r="G437" s="764"/>
      <c r="H437" s="764"/>
      <c r="I437" s="764"/>
      <c r="J437" s="764"/>
      <c r="K437" s="764"/>
      <c r="L437" s="764"/>
      <c r="M437" s="764"/>
      <c r="N437" s="758"/>
      <c r="O437" s="764"/>
      <c r="P437" s="764"/>
      <c r="Q437" s="764"/>
      <c r="R437" s="764"/>
      <c r="S437" s="764"/>
      <c r="T437" s="764"/>
      <c r="U437" s="764"/>
      <c r="V437" s="764"/>
      <c r="W437" s="764"/>
      <c r="X437" s="764"/>
      <c r="Y437" s="415"/>
      <c r="Z437" s="416"/>
      <c r="AA437" s="415"/>
      <c r="AB437" s="415"/>
      <c r="AC437" s="415"/>
      <c r="AD437" s="415"/>
      <c r="AE437" s="415"/>
      <c r="AF437" s="415"/>
      <c r="AG437" s="415"/>
      <c r="AH437" s="415"/>
      <c r="AI437" s="415"/>
      <c r="AJ437" s="415"/>
      <c r="AK437" s="415"/>
      <c r="AL437" s="415"/>
      <c r="AM437" s="313"/>
    </row>
    <row r="438" spans="1:39" ht="15.75" hidden="1" outlineLevel="1">
      <c r="A438" s="527"/>
      <c r="B438" s="499" t="s">
        <v>10</v>
      </c>
      <c r="C438" s="289"/>
      <c r="D438" s="762"/>
      <c r="E438" s="762"/>
      <c r="F438" s="762"/>
      <c r="G438" s="762"/>
      <c r="H438" s="762"/>
      <c r="I438" s="762"/>
      <c r="J438" s="762"/>
      <c r="K438" s="762"/>
      <c r="L438" s="762"/>
      <c r="M438" s="762"/>
      <c r="N438" s="763"/>
      <c r="O438" s="762"/>
      <c r="P438" s="762"/>
      <c r="Q438" s="762"/>
      <c r="R438" s="762"/>
      <c r="S438" s="762"/>
      <c r="T438" s="762"/>
      <c r="U438" s="762"/>
      <c r="V438" s="762"/>
      <c r="W438" s="762"/>
      <c r="X438" s="762"/>
      <c r="Y438" s="413"/>
      <c r="Z438" s="413"/>
      <c r="AA438" s="413"/>
      <c r="AB438" s="413"/>
      <c r="AC438" s="413"/>
      <c r="AD438" s="413"/>
      <c r="AE438" s="413"/>
      <c r="AF438" s="413"/>
      <c r="AG438" s="413"/>
      <c r="AH438" s="413"/>
      <c r="AI438" s="413"/>
      <c r="AJ438" s="413"/>
      <c r="AK438" s="413"/>
      <c r="AL438" s="413"/>
      <c r="AM438" s="292"/>
    </row>
    <row r="439" spans="1:39" ht="45" hidden="1" outlineLevel="1">
      <c r="A439" s="527">
        <v>11</v>
      </c>
      <c r="B439" s="425"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3"/>
      <c r="Z439" s="409"/>
      <c r="AA439" s="409"/>
      <c r="AB439" s="409"/>
      <c r="AC439" s="409"/>
      <c r="AD439" s="409"/>
      <c r="AE439" s="409"/>
      <c r="AF439" s="414"/>
      <c r="AG439" s="414"/>
      <c r="AH439" s="414"/>
      <c r="AI439" s="414"/>
      <c r="AJ439" s="414"/>
      <c r="AK439" s="414"/>
      <c r="AL439" s="414"/>
      <c r="AM439" s="296">
        <f>SUM(Y439:AL439)</f>
        <v>0</v>
      </c>
    </row>
    <row r="440" spans="1:39" hidden="1" outlineLevel="1">
      <c r="A440" s="527"/>
      <c r="B440" s="428"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0">
        <f>Y439</f>
        <v>0</v>
      </c>
      <c r="Z440" s="410">
        <f t="shared" ref="Z440" si="1265">Z439</f>
        <v>0</v>
      </c>
      <c r="AA440" s="410">
        <f t="shared" ref="AA440" si="1266">AA439</f>
        <v>0</v>
      </c>
      <c r="AB440" s="410">
        <f t="shared" ref="AB440" si="1267">AB439</f>
        <v>0</v>
      </c>
      <c r="AC440" s="410">
        <f t="shared" ref="AC440" si="1268">AC439</f>
        <v>0</v>
      </c>
      <c r="AD440" s="410">
        <f t="shared" ref="AD440" si="1269">AD439</f>
        <v>0</v>
      </c>
      <c r="AE440" s="410">
        <f t="shared" ref="AE440" si="1270">AE439</f>
        <v>0</v>
      </c>
      <c r="AF440" s="410">
        <f t="shared" ref="AF440" si="1271">AF439</f>
        <v>0</v>
      </c>
      <c r="AG440" s="410">
        <f t="shared" ref="AG440" si="1272">AG439</f>
        <v>0</v>
      </c>
      <c r="AH440" s="410">
        <f t="shared" ref="AH440" si="1273">AH439</f>
        <v>0</v>
      </c>
      <c r="AI440" s="410">
        <f t="shared" ref="AI440" si="1274">AI439</f>
        <v>0</v>
      </c>
      <c r="AJ440" s="410">
        <f t="shared" ref="AJ440" si="1275">AJ439</f>
        <v>0</v>
      </c>
      <c r="AK440" s="410">
        <f t="shared" ref="AK440" si="1276">AK439</f>
        <v>0</v>
      </c>
      <c r="AL440" s="410">
        <f t="shared" ref="AL440" si="1277">AL439</f>
        <v>0</v>
      </c>
      <c r="AM440" s="297"/>
    </row>
    <row r="441" spans="1:39" hidden="1" outlineLevel="1">
      <c r="A441" s="527"/>
      <c r="B441" s="523"/>
      <c r="C441" s="305"/>
      <c r="D441" s="758"/>
      <c r="E441" s="758"/>
      <c r="F441" s="758"/>
      <c r="G441" s="758"/>
      <c r="H441" s="758"/>
      <c r="I441" s="758"/>
      <c r="J441" s="758"/>
      <c r="K441" s="758"/>
      <c r="L441" s="758"/>
      <c r="M441" s="758"/>
      <c r="N441" s="758"/>
      <c r="O441" s="758"/>
      <c r="P441" s="758"/>
      <c r="Q441" s="758"/>
      <c r="R441" s="758"/>
      <c r="S441" s="758"/>
      <c r="T441" s="758"/>
      <c r="U441" s="758"/>
      <c r="V441" s="758"/>
      <c r="W441" s="758"/>
      <c r="X441" s="758"/>
      <c r="Y441" s="411"/>
      <c r="Z441" s="418"/>
      <c r="AA441" s="418"/>
      <c r="AB441" s="418"/>
      <c r="AC441" s="418"/>
      <c r="AD441" s="418"/>
      <c r="AE441" s="418"/>
      <c r="AF441" s="418"/>
      <c r="AG441" s="418"/>
      <c r="AH441" s="418"/>
      <c r="AI441" s="418"/>
      <c r="AJ441" s="418"/>
      <c r="AK441" s="418"/>
      <c r="AL441" s="418"/>
      <c r="AM441" s="306"/>
    </row>
    <row r="442" spans="1:39" ht="60" hidden="1" outlineLevel="1">
      <c r="A442" s="527">
        <v>12</v>
      </c>
      <c r="B442" s="425"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09"/>
      <c r="Z442" s="409"/>
      <c r="AA442" s="409"/>
      <c r="AB442" s="409"/>
      <c r="AC442" s="409"/>
      <c r="AD442" s="409"/>
      <c r="AE442" s="409"/>
      <c r="AF442" s="414"/>
      <c r="AG442" s="414"/>
      <c r="AH442" s="414"/>
      <c r="AI442" s="414"/>
      <c r="AJ442" s="414"/>
      <c r="AK442" s="414"/>
      <c r="AL442" s="414"/>
      <c r="AM442" s="296">
        <f>SUM(Y442:AL442)</f>
        <v>0</v>
      </c>
    </row>
    <row r="443" spans="1:39" hidden="1" outlineLevel="1">
      <c r="A443" s="527"/>
      <c r="B443" s="428"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0">
        <f>Y442</f>
        <v>0</v>
      </c>
      <c r="Z443" s="410">
        <f t="shared" ref="Z443" si="1278">Z442</f>
        <v>0</v>
      </c>
      <c r="AA443" s="410">
        <f t="shared" ref="AA443" si="1279">AA442</f>
        <v>0</v>
      </c>
      <c r="AB443" s="410">
        <f t="shared" ref="AB443" si="1280">AB442</f>
        <v>0</v>
      </c>
      <c r="AC443" s="410">
        <f t="shared" ref="AC443" si="1281">AC442</f>
        <v>0</v>
      </c>
      <c r="AD443" s="410">
        <f t="shared" ref="AD443" si="1282">AD442</f>
        <v>0</v>
      </c>
      <c r="AE443" s="410">
        <f t="shared" ref="AE443" si="1283">AE442</f>
        <v>0</v>
      </c>
      <c r="AF443" s="410">
        <f t="shared" ref="AF443" si="1284">AF442</f>
        <v>0</v>
      </c>
      <c r="AG443" s="410">
        <f t="shared" ref="AG443" si="1285">AG442</f>
        <v>0</v>
      </c>
      <c r="AH443" s="410">
        <f t="shared" ref="AH443" si="1286">AH442</f>
        <v>0</v>
      </c>
      <c r="AI443" s="410">
        <f t="shared" ref="AI443" si="1287">AI442</f>
        <v>0</v>
      </c>
      <c r="AJ443" s="410">
        <f t="shared" ref="AJ443" si="1288">AJ442</f>
        <v>0</v>
      </c>
      <c r="AK443" s="410">
        <f t="shared" ref="AK443" si="1289">AK442</f>
        <v>0</v>
      </c>
      <c r="AL443" s="410">
        <f t="shared" ref="AL443" si="1290">AL442</f>
        <v>0</v>
      </c>
      <c r="AM443" s="297"/>
    </row>
    <row r="444" spans="1:39" hidden="1" outlineLevel="1">
      <c r="A444" s="527"/>
      <c r="B444" s="523"/>
      <c r="C444" s="305"/>
      <c r="D444" s="758"/>
      <c r="E444" s="758"/>
      <c r="F444" s="758"/>
      <c r="G444" s="758"/>
      <c r="H444" s="758"/>
      <c r="I444" s="758"/>
      <c r="J444" s="758"/>
      <c r="K444" s="758"/>
      <c r="L444" s="758"/>
      <c r="M444" s="758"/>
      <c r="N444" s="758"/>
      <c r="O444" s="758"/>
      <c r="P444" s="758"/>
      <c r="Q444" s="758"/>
      <c r="R444" s="758"/>
      <c r="S444" s="758"/>
      <c r="T444" s="758"/>
      <c r="U444" s="758"/>
      <c r="V444" s="758"/>
      <c r="W444" s="758"/>
      <c r="X444" s="758"/>
      <c r="Y444" s="419"/>
      <c r="Z444" s="419"/>
      <c r="AA444" s="411"/>
      <c r="AB444" s="411"/>
      <c r="AC444" s="411"/>
      <c r="AD444" s="411"/>
      <c r="AE444" s="411"/>
      <c r="AF444" s="411"/>
      <c r="AG444" s="411"/>
      <c r="AH444" s="411"/>
      <c r="AI444" s="411"/>
      <c r="AJ444" s="411"/>
      <c r="AK444" s="411"/>
      <c r="AL444" s="411"/>
      <c r="AM444" s="306"/>
    </row>
    <row r="445" spans="1:39" ht="45" hidden="1" outlineLevel="1">
      <c r="A445" s="527">
        <v>13</v>
      </c>
      <c r="B445" s="425"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09"/>
      <c r="Z445" s="409"/>
      <c r="AA445" s="409"/>
      <c r="AB445" s="409"/>
      <c r="AC445" s="409"/>
      <c r="AD445" s="409"/>
      <c r="AE445" s="409"/>
      <c r="AF445" s="414"/>
      <c r="AG445" s="414"/>
      <c r="AH445" s="414"/>
      <c r="AI445" s="414"/>
      <c r="AJ445" s="414"/>
      <c r="AK445" s="414"/>
      <c r="AL445" s="414"/>
      <c r="AM445" s="296">
        <f>SUM(Y445:AL445)</f>
        <v>0</v>
      </c>
    </row>
    <row r="446" spans="1:39" hidden="1" outlineLevel="1">
      <c r="A446" s="527"/>
      <c r="B446" s="428"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0">
        <f>Y445</f>
        <v>0</v>
      </c>
      <c r="Z446" s="410">
        <f t="shared" ref="Z446" si="1291">Z445</f>
        <v>0</v>
      </c>
      <c r="AA446" s="410">
        <f t="shared" ref="AA446" si="1292">AA445</f>
        <v>0</v>
      </c>
      <c r="AB446" s="410">
        <f t="shared" ref="AB446" si="1293">AB445</f>
        <v>0</v>
      </c>
      <c r="AC446" s="410">
        <f t="shared" ref="AC446" si="1294">AC445</f>
        <v>0</v>
      </c>
      <c r="AD446" s="410">
        <f t="shared" ref="AD446" si="1295">AD445</f>
        <v>0</v>
      </c>
      <c r="AE446" s="410">
        <f t="shared" ref="AE446" si="1296">AE445</f>
        <v>0</v>
      </c>
      <c r="AF446" s="410">
        <f t="shared" ref="AF446" si="1297">AF445</f>
        <v>0</v>
      </c>
      <c r="AG446" s="410">
        <f t="shared" ref="AG446" si="1298">AG445</f>
        <v>0</v>
      </c>
      <c r="AH446" s="410">
        <f t="shared" ref="AH446" si="1299">AH445</f>
        <v>0</v>
      </c>
      <c r="AI446" s="410">
        <f t="shared" ref="AI446" si="1300">AI445</f>
        <v>0</v>
      </c>
      <c r="AJ446" s="410">
        <f t="shared" ref="AJ446" si="1301">AJ445</f>
        <v>0</v>
      </c>
      <c r="AK446" s="410">
        <f t="shared" ref="AK446" si="1302">AK445</f>
        <v>0</v>
      </c>
      <c r="AL446" s="410">
        <f t="shared" ref="AL446" si="1303">AL445</f>
        <v>0</v>
      </c>
      <c r="AM446" s="306"/>
    </row>
    <row r="447" spans="1:39" hidden="1" outlineLevel="1">
      <c r="A447" s="527"/>
      <c r="B447" s="523"/>
      <c r="C447" s="305"/>
      <c r="D447" s="758"/>
      <c r="E447" s="758"/>
      <c r="F447" s="758"/>
      <c r="G447" s="758"/>
      <c r="H447" s="758"/>
      <c r="I447" s="758"/>
      <c r="J447" s="758"/>
      <c r="K447" s="758"/>
      <c r="L447" s="758"/>
      <c r="M447" s="758"/>
      <c r="N447" s="758"/>
      <c r="O447" s="758"/>
      <c r="P447" s="758"/>
      <c r="Q447" s="758"/>
      <c r="R447" s="758"/>
      <c r="S447" s="758"/>
      <c r="T447" s="758"/>
      <c r="U447" s="758"/>
      <c r="V447" s="758"/>
      <c r="W447" s="758"/>
      <c r="X447" s="758"/>
      <c r="Y447" s="411"/>
      <c r="Z447" s="411"/>
      <c r="AA447" s="411"/>
      <c r="AB447" s="411"/>
      <c r="AC447" s="411"/>
      <c r="AD447" s="411"/>
      <c r="AE447" s="411"/>
      <c r="AF447" s="411"/>
      <c r="AG447" s="411"/>
      <c r="AH447" s="411"/>
      <c r="AI447" s="411"/>
      <c r="AJ447" s="411"/>
      <c r="AK447" s="411"/>
      <c r="AL447" s="411"/>
      <c r="AM447" s="306"/>
    </row>
    <row r="448" spans="1:39" ht="15.75" hidden="1" outlineLevel="1">
      <c r="A448" s="527"/>
      <c r="B448" s="499" t="s">
        <v>107</v>
      </c>
      <c r="C448" s="289"/>
      <c r="D448" s="763"/>
      <c r="E448" s="763"/>
      <c r="F448" s="763"/>
      <c r="G448" s="763"/>
      <c r="H448" s="763"/>
      <c r="I448" s="763"/>
      <c r="J448" s="763"/>
      <c r="K448" s="763"/>
      <c r="L448" s="763"/>
      <c r="M448" s="763"/>
      <c r="N448" s="763"/>
      <c r="O448" s="763"/>
      <c r="P448" s="762"/>
      <c r="Q448" s="762"/>
      <c r="R448" s="762"/>
      <c r="S448" s="762"/>
      <c r="T448" s="762"/>
      <c r="U448" s="762"/>
      <c r="V448" s="762"/>
      <c r="W448" s="762"/>
      <c r="X448" s="762"/>
      <c r="Y448" s="413"/>
      <c r="Z448" s="413"/>
      <c r="AA448" s="413"/>
      <c r="AB448" s="413"/>
      <c r="AC448" s="413"/>
      <c r="AD448" s="413"/>
      <c r="AE448" s="413"/>
      <c r="AF448" s="413"/>
      <c r="AG448" s="413"/>
      <c r="AH448" s="413"/>
      <c r="AI448" s="413"/>
      <c r="AJ448" s="413"/>
      <c r="AK448" s="413"/>
      <c r="AL448" s="413"/>
      <c r="AM448" s="292"/>
    </row>
    <row r="449" spans="1:40" hidden="1" outlineLevel="1">
      <c r="A449" s="527">
        <v>14</v>
      </c>
      <c r="B449" s="523"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09"/>
      <c r="Z449" s="409"/>
      <c r="AA449" s="409"/>
      <c r="AB449" s="409"/>
      <c r="AC449" s="409"/>
      <c r="AD449" s="409"/>
      <c r="AE449" s="409"/>
      <c r="AF449" s="409"/>
      <c r="AG449" s="409"/>
      <c r="AH449" s="409"/>
      <c r="AI449" s="409"/>
      <c r="AJ449" s="409"/>
      <c r="AK449" s="409"/>
      <c r="AL449" s="409"/>
      <c r="AM449" s="296">
        <f>SUM(Y449:AL449)</f>
        <v>0</v>
      </c>
    </row>
    <row r="450" spans="1:40" hidden="1" outlineLevel="1">
      <c r="A450" s="527"/>
      <c r="B450" s="428"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0">
        <f>Y449</f>
        <v>0</v>
      </c>
      <c r="Z450" s="410">
        <f t="shared" ref="Z450" si="1304">Z449</f>
        <v>0</v>
      </c>
      <c r="AA450" s="410">
        <f t="shared" ref="AA450" si="1305">AA449</f>
        <v>0</v>
      </c>
      <c r="AB450" s="410">
        <f t="shared" ref="AB450" si="1306">AB449</f>
        <v>0</v>
      </c>
      <c r="AC450" s="410">
        <f t="shared" ref="AC450" si="1307">AC449</f>
        <v>0</v>
      </c>
      <c r="AD450" s="410">
        <f t="shared" ref="AD450" si="1308">AD449</f>
        <v>0</v>
      </c>
      <c r="AE450" s="410">
        <f t="shared" ref="AE450" si="1309">AE449</f>
        <v>0</v>
      </c>
      <c r="AF450" s="410">
        <f t="shared" ref="AF450" si="1310">AF449</f>
        <v>0</v>
      </c>
      <c r="AG450" s="410">
        <f t="shared" ref="AG450" si="1311">AG449</f>
        <v>0</v>
      </c>
      <c r="AH450" s="410">
        <f t="shared" ref="AH450" si="1312">AH449</f>
        <v>0</v>
      </c>
      <c r="AI450" s="410">
        <f t="shared" ref="AI450" si="1313">AI449</f>
        <v>0</v>
      </c>
      <c r="AJ450" s="410">
        <f t="shared" ref="AJ450" si="1314">AJ449</f>
        <v>0</v>
      </c>
      <c r="AK450" s="410">
        <f t="shared" ref="AK450" si="1315">AK449</f>
        <v>0</v>
      </c>
      <c r="AL450" s="410">
        <f t="shared" ref="AL450" si="1316">AL449</f>
        <v>0</v>
      </c>
      <c r="AM450" s="297"/>
    </row>
    <row r="451" spans="1:40" hidden="1" outlineLevel="1">
      <c r="A451" s="527"/>
      <c r="B451" s="523"/>
      <c r="C451" s="305"/>
      <c r="D451" s="758"/>
      <c r="E451" s="758"/>
      <c r="F451" s="758"/>
      <c r="G451" s="758"/>
      <c r="H451" s="758"/>
      <c r="I451" s="758"/>
      <c r="J451" s="758"/>
      <c r="K451" s="758"/>
      <c r="L451" s="758"/>
      <c r="M451" s="758"/>
      <c r="N451" s="759"/>
      <c r="O451" s="758"/>
      <c r="P451" s="758"/>
      <c r="Q451" s="758"/>
      <c r="R451" s="758"/>
      <c r="S451" s="758"/>
      <c r="T451" s="758"/>
      <c r="U451" s="758"/>
      <c r="V451" s="758"/>
      <c r="W451" s="758"/>
      <c r="X451" s="758"/>
      <c r="Y451" s="411"/>
      <c r="Z451" s="411"/>
      <c r="AA451" s="411"/>
      <c r="AB451" s="411"/>
      <c r="AC451" s="411"/>
      <c r="AD451" s="411"/>
      <c r="AE451" s="411"/>
      <c r="AF451" s="411"/>
      <c r="AG451" s="411"/>
      <c r="AH451" s="411"/>
      <c r="AI451" s="411"/>
      <c r="AJ451" s="411"/>
      <c r="AK451" s="411"/>
      <c r="AL451" s="411"/>
      <c r="AM451" s="301"/>
      <c r="AN451" s="625"/>
    </row>
    <row r="452" spans="1:40" s="309" customFormat="1" ht="15.75" hidden="1" outlineLevel="1">
      <c r="A452" s="527"/>
      <c r="B452" s="499" t="s">
        <v>490</v>
      </c>
      <c r="C452" s="291"/>
      <c r="D452" s="758"/>
      <c r="E452" s="758"/>
      <c r="F452" s="758"/>
      <c r="G452" s="758"/>
      <c r="H452" s="758"/>
      <c r="I452" s="758"/>
      <c r="J452" s="758"/>
      <c r="K452" s="758"/>
      <c r="L452" s="758"/>
      <c r="M452" s="758"/>
      <c r="N452" s="758"/>
      <c r="O452" s="758"/>
      <c r="P452" s="758"/>
      <c r="Q452" s="758"/>
      <c r="R452" s="758"/>
      <c r="S452" s="758"/>
      <c r="T452" s="758"/>
      <c r="U452" s="758"/>
      <c r="V452" s="758"/>
      <c r="W452" s="758"/>
      <c r="X452" s="758"/>
      <c r="Y452" s="411"/>
      <c r="Z452" s="411"/>
      <c r="AA452" s="411"/>
      <c r="AB452" s="411"/>
      <c r="AC452" s="411"/>
      <c r="AD452" s="411"/>
      <c r="AE452" s="415"/>
      <c r="AF452" s="415"/>
      <c r="AG452" s="415"/>
      <c r="AH452" s="415"/>
      <c r="AI452" s="415"/>
      <c r="AJ452" s="415"/>
      <c r="AK452" s="415"/>
      <c r="AL452" s="415"/>
      <c r="AM452" s="512"/>
      <c r="AN452" s="626"/>
    </row>
    <row r="453" spans="1:40" hidden="1" outlineLevel="1">
      <c r="A453" s="527">
        <v>15</v>
      </c>
      <c r="B453" s="428" t="s">
        <v>495</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09"/>
      <c r="Z453" s="409"/>
      <c r="AA453" s="409"/>
      <c r="AB453" s="409"/>
      <c r="AC453" s="409"/>
      <c r="AD453" s="409"/>
      <c r="AE453" s="409"/>
      <c r="AF453" s="409"/>
      <c r="AG453" s="409"/>
      <c r="AH453" s="409"/>
      <c r="AI453" s="409"/>
      <c r="AJ453" s="409"/>
      <c r="AK453" s="409"/>
      <c r="AL453" s="409"/>
      <c r="AM453" s="296">
        <f>SUM(Y453:AL453)</f>
        <v>0</v>
      </c>
    </row>
    <row r="454" spans="1:40" hidden="1" outlineLevel="1">
      <c r="A454" s="527"/>
      <c r="B454" s="4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7"/>
    </row>
    <row r="455" spans="1:40" hidden="1" outlineLevel="1">
      <c r="A455" s="527"/>
      <c r="B455" s="523"/>
      <c r="C455" s="305"/>
      <c r="D455" s="758"/>
      <c r="E455" s="758"/>
      <c r="F455" s="758"/>
      <c r="G455" s="758"/>
      <c r="H455" s="758"/>
      <c r="I455" s="758"/>
      <c r="J455" s="758"/>
      <c r="K455" s="758"/>
      <c r="L455" s="758"/>
      <c r="M455" s="758"/>
      <c r="N455" s="758"/>
      <c r="O455" s="758"/>
      <c r="P455" s="758"/>
      <c r="Q455" s="758"/>
      <c r="R455" s="758"/>
      <c r="S455" s="758"/>
      <c r="T455" s="758"/>
      <c r="U455" s="758"/>
      <c r="V455" s="758"/>
      <c r="W455" s="758"/>
      <c r="X455" s="758"/>
      <c r="Y455" s="411"/>
      <c r="Z455" s="411"/>
      <c r="AA455" s="411"/>
      <c r="AB455" s="411"/>
      <c r="AC455" s="411"/>
      <c r="AD455" s="411"/>
      <c r="AE455" s="411"/>
      <c r="AF455" s="411"/>
      <c r="AG455" s="411"/>
      <c r="AH455" s="411"/>
      <c r="AI455" s="411"/>
      <c r="AJ455" s="411"/>
      <c r="AK455" s="411"/>
      <c r="AL455" s="411"/>
      <c r="AM455" s="306"/>
    </row>
    <row r="456" spans="1:40" s="283" customFormat="1" hidden="1" outlineLevel="1">
      <c r="A456" s="527">
        <v>16</v>
      </c>
      <c r="B456" s="524" t="s">
        <v>491</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09"/>
      <c r="Z456" s="409"/>
      <c r="AA456" s="409"/>
      <c r="AB456" s="409"/>
      <c r="AC456" s="409"/>
      <c r="AD456" s="409"/>
      <c r="AE456" s="409"/>
      <c r="AF456" s="409"/>
      <c r="AG456" s="409"/>
      <c r="AH456" s="409"/>
      <c r="AI456" s="409"/>
      <c r="AJ456" s="409"/>
      <c r="AK456" s="409"/>
      <c r="AL456" s="409"/>
      <c r="AM456" s="296">
        <f>SUM(Y456:AL456)</f>
        <v>0</v>
      </c>
    </row>
    <row r="457" spans="1:40" s="283" customFormat="1" hidden="1" outlineLevel="1">
      <c r="A457" s="527"/>
      <c r="B457" s="524"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0">
        <f>Y456</f>
        <v>0</v>
      </c>
      <c r="Z457" s="410">
        <f t="shared" ref="Z457:AL457" si="1318">Z456</f>
        <v>0</v>
      </c>
      <c r="AA457" s="410">
        <f t="shared" si="1318"/>
        <v>0</v>
      </c>
      <c r="AB457" s="410">
        <f t="shared" si="1318"/>
        <v>0</v>
      </c>
      <c r="AC457" s="410">
        <f t="shared" si="1318"/>
        <v>0</v>
      </c>
      <c r="AD457" s="410">
        <f t="shared" si="1318"/>
        <v>0</v>
      </c>
      <c r="AE457" s="410">
        <f t="shared" si="1318"/>
        <v>0</v>
      </c>
      <c r="AF457" s="410">
        <f t="shared" si="1318"/>
        <v>0</v>
      </c>
      <c r="AG457" s="410">
        <f t="shared" si="1318"/>
        <v>0</v>
      </c>
      <c r="AH457" s="410">
        <f t="shared" si="1318"/>
        <v>0</v>
      </c>
      <c r="AI457" s="410">
        <f t="shared" si="1318"/>
        <v>0</v>
      </c>
      <c r="AJ457" s="410">
        <f t="shared" si="1318"/>
        <v>0</v>
      </c>
      <c r="AK457" s="410">
        <f t="shared" si="1318"/>
        <v>0</v>
      </c>
      <c r="AL457" s="410">
        <f t="shared" si="1318"/>
        <v>0</v>
      </c>
      <c r="AM457" s="297"/>
    </row>
    <row r="458" spans="1:40" s="283" customFormat="1" hidden="1" outlineLevel="1">
      <c r="A458" s="527"/>
      <c r="B458" s="524"/>
      <c r="C458" s="291"/>
      <c r="D458" s="758"/>
      <c r="E458" s="758"/>
      <c r="F458" s="758"/>
      <c r="G458" s="758"/>
      <c r="H458" s="758"/>
      <c r="I458" s="758"/>
      <c r="J458" s="758"/>
      <c r="K458" s="758"/>
      <c r="L458" s="758"/>
      <c r="M458" s="758"/>
      <c r="N458" s="758"/>
      <c r="O458" s="758"/>
      <c r="P458" s="758"/>
      <c r="Q458" s="758"/>
      <c r="R458" s="758"/>
      <c r="S458" s="758"/>
      <c r="T458" s="758"/>
      <c r="U458" s="758"/>
      <c r="V458" s="758"/>
      <c r="W458" s="758"/>
      <c r="X458" s="758"/>
      <c r="Y458" s="411"/>
      <c r="Z458" s="411"/>
      <c r="AA458" s="411"/>
      <c r="AB458" s="411"/>
      <c r="AC458" s="411"/>
      <c r="AD458" s="411"/>
      <c r="AE458" s="415"/>
      <c r="AF458" s="415"/>
      <c r="AG458" s="415"/>
      <c r="AH458" s="415"/>
      <c r="AI458" s="415"/>
      <c r="AJ458" s="415"/>
      <c r="AK458" s="415"/>
      <c r="AL458" s="415"/>
      <c r="AM458" s="313"/>
    </row>
    <row r="459" spans="1:40" ht="15.75" hidden="1" outlineLevel="1">
      <c r="A459" s="527"/>
      <c r="B459" s="525" t="s">
        <v>496</v>
      </c>
      <c r="C459" s="319"/>
      <c r="D459" s="763"/>
      <c r="E459" s="762"/>
      <c r="F459" s="762"/>
      <c r="G459" s="762"/>
      <c r="H459" s="762"/>
      <c r="I459" s="762"/>
      <c r="J459" s="762"/>
      <c r="K459" s="762"/>
      <c r="L459" s="762"/>
      <c r="M459" s="762"/>
      <c r="N459" s="763"/>
      <c r="O459" s="762"/>
      <c r="P459" s="762"/>
      <c r="Q459" s="762"/>
      <c r="R459" s="762"/>
      <c r="S459" s="762"/>
      <c r="T459" s="762"/>
      <c r="U459" s="762"/>
      <c r="V459" s="762"/>
      <c r="W459" s="762"/>
      <c r="X459" s="762"/>
      <c r="Y459" s="413"/>
      <c r="Z459" s="413"/>
      <c r="AA459" s="413"/>
      <c r="AB459" s="413"/>
      <c r="AC459" s="413"/>
      <c r="AD459" s="413"/>
      <c r="AE459" s="413"/>
      <c r="AF459" s="413"/>
      <c r="AG459" s="413"/>
      <c r="AH459" s="413"/>
      <c r="AI459" s="413"/>
      <c r="AJ459" s="413"/>
      <c r="AK459" s="413"/>
      <c r="AL459" s="413"/>
      <c r="AM459" s="292"/>
    </row>
    <row r="460" spans="1:40" ht="30" hidden="1" outlineLevel="1">
      <c r="A460" s="527">
        <v>17</v>
      </c>
      <c r="B460" s="425"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3"/>
      <c r="Z460" s="409"/>
      <c r="AA460" s="409"/>
      <c r="AB460" s="409"/>
      <c r="AC460" s="409"/>
      <c r="AD460" s="409"/>
      <c r="AE460" s="409"/>
      <c r="AF460" s="414"/>
      <c r="AG460" s="414"/>
      <c r="AH460" s="414"/>
      <c r="AI460" s="414"/>
      <c r="AJ460" s="414"/>
      <c r="AK460" s="414"/>
      <c r="AL460" s="414"/>
      <c r="AM460" s="296">
        <f>SUM(Y460:AL460)</f>
        <v>0</v>
      </c>
    </row>
    <row r="461" spans="1:40" hidden="1" outlineLevel="1">
      <c r="A461" s="527"/>
      <c r="B461" s="428"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6"/>
    </row>
    <row r="462" spans="1:40" hidden="1" outlineLevel="1">
      <c r="A462" s="527"/>
      <c r="B462" s="428"/>
      <c r="C462" s="291"/>
      <c r="D462" s="758"/>
      <c r="E462" s="758"/>
      <c r="F462" s="758"/>
      <c r="G462" s="758"/>
      <c r="H462" s="758"/>
      <c r="I462" s="758"/>
      <c r="J462" s="758"/>
      <c r="K462" s="758"/>
      <c r="L462" s="758"/>
      <c r="M462" s="758"/>
      <c r="N462" s="758"/>
      <c r="O462" s="758"/>
      <c r="P462" s="758"/>
      <c r="Q462" s="758"/>
      <c r="R462" s="758"/>
      <c r="S462" s="758"/>
      <c r="T462" s="758"/>
      <c r="U462" s="758"/>
      <c r="V462" s="758"/>
      <c r="W462" s="758"/>
      <c r="X462" s="758"/>
      <c r="Y462" s="419"/>
      <c r="Z462" s="422"/>
      <c r="AA462" s="422"/>
      <c r="AB462" s="422"/>
      <c r="AC462" s="422"/>
      <c r="AD462" s="422"/>
      <c r="AE462" s="422"/>
      <c r="AF462" s="422"/>
      <c r="AG462" s="422"/>
      <c r="AH462" s="422"/>
      <c r="AI462" s="422"/>
      <c r="AJ462" s="422"/>
      <c r="AK462" s="422"/>
      <c r="AL462" s="422"/>
      <c r="AM462" s="306"/>
    </row>
    <row r="463" spans="1:40" hidden="1" outlineLevel="1">
      <c r="A463" s="527">
        <v>18</v>
      </c>
      <c r="B463" s="425"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3"/>
      <c r="Z463" s="409"/>
      <c r="AA463" s="409"/>
      <c r="AB463" s="409"/>
      <c r="AC463" s="409"/>
      <c r="AD463" s="409"/>
      <c r="AE463" s="409"/>
      <c r="AF463" s="414"/>
      <c r="AG463" s="414"/>
      <c r="AH463" s="414"/>
      <c r="AI463" s="414"/>
      <c r="AJ463" s="414"/>
      <c r="AK463" s="414"/>
      <c r="AL463" s="414"/>
      <c r="AM463" s="296">
        <f>SUM(Y463:AL463)</f>
        <v>0</v>
      </c>
    </row>
    <row r="464" spans="1:40" hidden="1" outlineLevel="1">
      <c r="A464" s="527"/>
      <c r="B464" s="428"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306"/>
    </row>
    <row r="465" spans="1:39" hidden="1" outlineLevel="1">
      <c r="A465" s="527"/>
      <c r="B465" s="427"/>
      <c r="C465" s="291"/>
      <c r="D465" s="758"/>
      <c r="E465" s="758"/>
      <c r="F465" s="758"/>
      <c r="G465" s="758"/>
      <c r="H465" s="758"/>
      <c r="I465" s="758"/>
      <c r="J465" s="758"/>
      <c r="K465" s="758"/>
      <c r="L465" s="758"/>
      <c r="M465" s="758"/>
      <c r="N465" s="758"/>
      <c r="O465" s="758"/>
      <c r="P465" s="758"/>
      <c r="Q465" s="758"/>
      <c r="R465" s="758"/>
      <c r="S465" s="758"/>
      <c r="T465" s="758"/>
      <c r="U465" s="758"/>
      <c r="V465" s="758"/>
      <c r="W465" s="758"/>
      <c r="X465" s="758"/>
      <c r="Y465" s="420"/>
      <c r="Z465" s="421"/>
      <c r="AA465" s="421"/>
      <c r="AB465" s="421"/>
      <c r="AC465" s="421"/>
      <c r="AD465" s="421"/>
      <c r="AE465" s="421"/>
      <c r="AF465" s="421"/>
      <c r="AG465" s="421"/>
      <c r="AH465" s="421"/>
      <c r="AI465" s="421"/>
      <c r="AJ465" s="421"/>
      <c r="AK465" s="421"/>
      <c r="AL465" s="421"/>
      <c r="AM465" s="297"/>
    </row>
    <row r="466" spans="1:39" ht="30" hidden="1" outlineLevel="1">
      <c r="A466" s="527">
        <v>19</v>
      </c>
      <c r="B466" s="425"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3"/>
      <c r="Z466" s="409"/>
      <c r="AA466" s="409"/>
      <c r="AB466" s="409"/>
      <c r="AC466" s="409"/>
      <c r="AD466" s="409"/>
      <c r="AE466" s="409"/>
      <c r="AF466" s="414"/>
      <c r="AG466" s="414"/>
      <c r="AH466" s="414"/>
      <c r="AI466" s="414"/>
      <c r="AJ466" s="414"/>
      <c r="AK466" s="414"/>
      <c r="AL466" s="414"/>
      <c r="AM466" s="296">
        <f>SUM(Y466:AL466)</f>
        <v>0</v>
      </c>
    </row>
    <row r="467" spans="1:39" hidden="1" outlineLevel="1">
      <c r="A467" s="527"/>
      <c r="B467" s="428"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0">
        <f>Y466</f>
        <v>0</v>
      </c>
      <c r="Z467" s="410">
        <f t="shared" ref="Z467:AL467" si="1321">Z466</f>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297"/>
    </row>
    <row r="468" spans="1:39" hidden="1" outlineLevel="1">
      <c r="A468" s="527"/>
      <c r="B468" s="427"/>
      <c r="C468" s="291"/>
      <c r="D468" s="758"/>
      <c r="E468" s="758"/>
      <c r="F468" s="758"/>
      <c r="G468" s="758"/>
      <c r="H468" s="758"/>
      <c r="I468" s="758"/>
      <c r="J468" s="758"/>
      <c r="K468" s="758"/>
      <c r="L468" s="758"/>
      <c r="M468" s="758"/>
      <c r="N468" s="758"/>
      <c r="O468" s="758"/>
      <c r="P468" s="758"/>
      <c r="Q468" s="758"/>
      <c r="R468" s="758"/>
      <c r="S468" s="758"/>
      <c r="T468" s="758"/>
      <c r="U468" s="758"/>
      <c r="V468" s="758"/>
      <c r="W468" s="758"/>
      <c r="X468" s="758"/>
      <c r="Y468" s="411"/>
      <c r="Z468" s="411"/>
      <c r="AA468" s="411"/>
      <c r="AB468" s="411"/>
      <c r="AC468" s="411"/>
      <c r="AD468" s="411"/>
      <c r="AE468" s="411"/>
      <c r="AF468" s="411"/>
      <c r="AG468" s="411"/>
      <c r="AH468" s="411"/>
      <c r="AI468" s="411"/>
      <c r="AJ468" s="411"/>
      <c r="AK468" s="411"/>
      <c r="AL468" s="411"/>
      <c r="AM468" s="306"/>
    </row>
    <row r="469" spans="1:39" hidden="1" outlineLevel="1">
      <c r="A469" s="527">
        <v>20</v>
      </c>
      <c r="B469" s="425"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3"/>
      <c r="Z469" s="409"/>
      <c r="AA469" s="409"/>
      <c r="AB469" s="409"/>
      <c r="AC469" s="409"/>
      <c r="AD469" s="409"/>
      <c r="AE469" s="409"/>
      <c r="AF469" s="414"/>
      <c r="AG469" s="414"/>
      <c r="AH469" s="414"/>
      <c r="AI469" s="414"/>
      <c r="AJ469" s="414"/>
      <c r="AK469" s="414"/>
      <c r="AL469" s="414"/>
      <c r="AM469" s="296">
        <f>SUM(Y469:AL469)</f>
        <v>0</v>
      </c>
    </row>
    <row r="470" spans="1:39" hidden="1" outlineLevel="1">
      <c r="A470" s="527"/>
      <c r="B470" s="428"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0">
        <f t="shared" ref="Y470:AL470" si="1322">Y469</f>
        <v>0</v>
      </c>
      <c r="Z470" s="410">
        <f t="shared" si="1322"/>
        <v>0</v>
      </c>
      <c r="AA470" s="410">
        <f t="shared" si="1322"/>
        <v>0</v>
      </c>
      <c r="AB470" s="410">
        <f t="shared" si="1322"/>
        <v>0</v>
      </c>
      <c r="AC470" s="410">
        <f t="shared" si="1322"/>
        <v>0</v>
      </c>
      <c r="AD470" s="410">
        <f t="shared" si="1322"/>
        <v>0</v>
      </c>
      <c r="AE470" s="410">
        <f t="shared" si="1322"/>
        <v>0</v>
      </c>
      <c r="AF470" s="410">
        <f t="shared" si="1322"/>
        <v>0</v>
      </c>
      <c r="AG470" s="410">
        <f t="shared" si="1322"/>
        <v>0</v>
      </c>
      <c r="AH470" s="410">
        <f t="shared" si="1322"/>
        <v>0</v>
      </c>
      <c r="AI470" s="410">
        <f t="shared" si="1322"/>
        <v>0</v>
      </c>
      <c r="AJ470" s="410">
        <f t="shared" si="1322"/>
        <v>0</v>
      </c>
      <c r="AK470" s="410">
        <f t="shared" si="1322"/>
        <v>0</v>
      </c>
      <c r="AL470" s="410">
        <f t="shared" si="1322"/>
        <v>0</v>
      </c>
      <c r="AM470" s="306"/>
    </row>
    <row r="471" spans="1:39" ht="15.75" hidden="1" outlineLevel="1">
      <c r="A471" s="527"/>
      <c r="B471" s="526"/>
      <c r="C471" s="300"/>
      <c r="D471" s="758"/>
      <c r="E471" s="758"/>
      <c r="F471" s="758"/>
      <c r="G471" s="758"/>
      <c r="H471" s="758"/>
      <c r="I471" s="758"/>
      <c r="J471" s="758"/>
      <c r="K471" s="758"/>
      <c r="L471" s="758"/>
      <c r="M471" s="758"/>
      <c r="N471" s="761"/>
      <c r="O471" s="758"/>
      <c r="P471" s="758"/>
      <c r="Q471" s="758"/>
      <c r="R471" s="758"/>
      <c r="S471" s="758"/>
      <c r="T471" s="758"/>
      <c r="U471" s="758"/>
      <c r="V471" s="758"/>
      <c r="W471" s="758"/>
      <c r="X471" s="758"/>
      <c r="Y471" s="411"/>
      <c r="Z471" s="411"/>
      <c r="AA471" s="411"/>
      <c r="AB471" s="411"/>
      <c r="AC471" s="411"/>
      <c r="AD471" s="411"/>
      <c r="AE471" s="411"/>
      <c r="AF471" s="411"/>
      <c r="AG471" s="411"/>
      <c r="AH471" s="411"/>
      <c r="AI471" s="411"/>
      <c r="AJ471" s="411"/>
      <c r="AK471" s="411"/>
      <c r="AL471" s="411"/>
      <c r="AM471" s="306"/>
    </row>
    <row r="472" spans="1:39" ht="15.75" collapsed="1">
      <c r="A472" s="527"/>
      <c r="B472" s="519" t="s">
        <v>503</v>
      </c>
      <c r="C472" s="291"/>
      <c r="D472" s="758"/>
      <c r="E472" s="758"/>
      <c r="F472" s="758"/>
      <c r="G472" s="758"/>
      <c r="H472" s="758"/>
      <c r="I472" s="758"/>
      <c r="J472" s="758"/>
      <c r="K472" s="758"/>
      <c r="L472" s="758"/>
      <c r="M472" s="758"/>
      <c r="N472" s="758"/>
      <c r="O472" s="758"/>
      <c r="P472" s="758"/>
      <c r="Q472" s="758"/>
      <c r="R472" s="758"/>
      <c r="S472" s="758"/>
      <c r="T472" s="758"/>
      <c r="U472" s="758"/>
      <c r="V472" s="758"/>
      <c r="W472" s="758"/>
      <c r="X472" s="758"/>
      <c r="Y472" s="928"/>
      <c r="Z472" s="422"/>
      <c r="AA472" s="422"/>
      <c r="AB472" s="422"/>
      <c r="AC472" s="422"/>
      <c r="AD472" s="422"/>
      <c r="AE472" s="422"/>
      <c r="AF472" s="422"/>
      <c r="AG472" s="422"/>
      <c r="AH472" s="422"/>
      <c r="AI472" s="422"/>
      <c r="AJ472" s="422"/>
      <c r="AK472" s="422"/>
      <c r="AL472" s="422"/>
      <c r="AM472" s="306"/>
    </row>
    <row r="473" spans="1:39" ht="15.75">
      <c r="A473" s="527"/>
      <c r="B473" s="499" t="s">
        <v>499</v>
      </c>
      <c r="C473" s="291"/>
      <c r="D473" s="758"/>
      <c r="E473" s="758"/>
      <c r="F473" s="758"/>
      <c r="G473" s="758"/>
      <c r="H473" s="758"/>
      <c r="I473" s="758"/>
      <c r="J473" s="758"/>
      <c r="K473" s="758"/>
      <c r="L473" s="758"/>
      <c r="M473" s="758"/>
      <c r="N473" s="758"/>
      <c r="O473" s="758"/>
      <c r="P473" s="758"/>
      <c r="Q473" s="758"/>
      <c r="R473" s="758"/>
      <c r="S473" s="758"/>
      <c r="T473" s="758"/>
      <c r="U473" s="758"/>
      <c r="V473" s="758"/>
      <c r="W473" s="758"/>
      <c r="X473" s="758"/>
      <c r="Y473" s="419"/>
      <c r="Z473" s="422"/>
      <c r="AA473" s="422"/>
      <c r="AB473" s="422"/>
      <c r="AC473" s="422"/>
      <c r="AD473" s="422"/>
      <c r="AE473" s="422"/>
      <c r="AF473" s="422"/>
      <c r="AG473" s="422"/>
      <c r="AH473" s="422"/>
      <c r="AI473" s="422"/>
      <c r="AJ473" s="422"/>
      <c r="AK473" s="422"/>
      <c r="AL473" s="422"/>
      <c r="AM473" s="306"/>
    </row>
    <row r="474" spans="1:39" ht="30">
      <c r="A474" s="527">
        <v>21</v>
      </c>
      <c r="B474" s="425" t="s">
        <v>113</v>
      </c>
      <c r="C474" s="291" t="s">
        <v>25</v>
      </c>
      <c r="D474" s="295">
        <f>'7.  Persistence Report'!AW197</f>
        <v>7711088</v>
      </c>
      <c r="E474" s="295">
        <f>'7.  Persistence Report'!AX197</f>
        <v>6202137</v>
      </c>
      <c r="F474" s="295">
        <f>'7.  Persistence Report'!AY197</f>
        <v>6202137</v>
      </c>
      <c r="G474" s="295">
        <f>'7.  Persistence Report'!AZ197</f>
        <v>6202137</v>
      </c>
      <c r="H474" s="295">
        <f>'7.  Persistence Report'!BA197</f>
        <v>6202137</v>
      </c>
      <c r="I474" s="295">
        <f>'7.  Persistence Report'!BB197</f>
        <v>6202137</v>
      </c>
      <c r="J474" s="295">
        <f>'7.  Persistence Report'!BC197</f>
        <v>6202137</v>
      </c>
      <c r="K474" s="295">
        <f>'7.  Persistence Report'!BD197</f>
        <v>6202077</v>
      </c>
      <c r="L474" s="295">
        <f>'7.  Persistence Report'!BE197</f>
        <v>6202077</v>
      </c>
      <c r="M474" s="295">
        <f>'7.  Persistence Report'!BF197</f>
        <v>6187940</v>
      </c>
      <c r="N474" s="758"/>
      <c r="O474" s="295">
        <f>+'7.  Persistence Report'!R197</f>
        <v>533</v>
      </c>
      <c r="P474" s="295">
        <f>+'7.  Persistence Report'!S197</f>
        <v>432</v>
      </c>
      <c r="Q474" s="295">
        <f>+'7.  Persistence Report'!T197</f>
        <v>432</v>
      </c>
      <c r="R474" s="295">
        <f>+'7.  Persistence Report'!U197</f>
        <v>432</v>
      </c>
      <c r="S474" s="295">
        <f>+'7.  Persistence Report'!V197</f>
        <v>432</v>
      </c>
      <c r="T474" s="295">
        <f>+'7.  Persistence Report'!W197</f>
        <v>432</v>
      </c>
      <c r="U474" s="295">
        <f>+'7.  Persistence Report'!X197</f>
        <v>432</v>
      </c>
      <c r="V474" s="295">
        <f>+'7.  Persistence Report'!Y197</f>
        <v>432</v>
      </c>
      <c r="W474" s="295">
        <f>+'7.  Persistence Report'!Z197</f>
        <v>432</v>
      </c>
      <c r="X474" s="295">
        <f>+'7.  Persistence Report'!AA197</f>
        <v>431</v>
      </c>
      <c r="Y474" s="772">
        <v>1</v>
      </c>
      <c r="Z474" s="409"/>
      <c r="AA474" s="409"/>
      <c r="AB474" s="409"/>
      <c r="AC474" s="409"/>
      <c r="AD474" s="409"/>
      <c r="AE474" s="409"/>
      <c r="AF474" s="409"/>
      <c r="AG474" s="409"/>
      <c r="AH474" s="409"/>
      <c r="AI474" s="409"/>
      <c r="AJ474" s="409"/>
      <c r="AK474" s="409"/>
      <c r="AL474" s="409"/>
      <c r="AM474" s="296">
        <f>SUM(Y474:AL474)</f>
        <v>1</v>
      </c>
    </row>
    <row r="475" spans="1:39">
      <c r="A475" s="527"/>
      <c r="B475" s="428" t="s">
        <v>308</v>
      </c>
      <c r="C475" s="901" t="s">
        <v>163</v>
      </c>
      <c r="D475" s="774">
        <f>+'7.  Persistence Report'!AW211</f>
        <v>9942</v>
      </c>
      <c r="E475" s="774">
        <f>+'7.  Persistence Report'!AX211</f>
        <v>9862.4639999999999</v>
      </c>
      <c r="F475" s="774">
        <f>+'7.  Persistence Report'!AY211</f>
        <v>9862.4639999999999</v>
      </c>
      <c r="G475" s="774">
        <f>+'7.  Persistence Report'!AZ211</f>
        <v>9862.4639999999999</v>
      </c>
      <c r="H475" s="774"/>
      <c r="I475" s="774"/>
      <c r="J475" s="774"/>
      <c r="K475" s="774"/>
      <c r="L475" s="774"/>
      <c r="M475" s="774"/>
      <c r="N475" s="758"/>
      <c r="O475" s="919"/>
      <c r="P475" s="919"/>
      <c r="Q475" s="919"/>
      <c r="R475" s="919"/>
      <c r="S475" s="295"/>
      <c r="T475" s="295"/>
      <c r="U475" s="295"/>
      <c r="V475" s="295"/>
      <c r="W475" s="295"/>
      <c r="X475" s="295"/>
      <c r="Y475" s="410">
        <f>Y474</f>
        <v>1</v>
      </c>
      <c r="Z475" s="410">
        <f t="shared" ref="Z475" si="1323">Z474</f>
        <v>0</v>
      </c>
      <c r="AA475" s="410">
        <f t="shared" ref="AA475" si="1324">AA474</f>
        <v>0</v>
      </c>
      <c r="AB475" s="410">
        <f t="shared" ref="AB475" si="1325">AB474</f>
        <v>0</v>
      </c>
      <c r="AC475" s="410">
        <f t="shared" ref="AC475" si="1326">AC474</f>
        <v>0</v>
      </c>
      <c r="AD475" s="410">
        <f t="shared" ref="AD475" si="1327">AD474</f>
        <v>0</v>
      </c>
      <c r="AE475" s="410">
        <f t="shared" ref="AE475" si="1328">AE474</f>
        <v>0</v>
      </c>
      <c r="AF475" s="410">
        <f t="shared" ref="AF475" si="1329">AF474</f>
        <v>0</v>
      </c>
      <c r="AG475" s="410">
        <f t="shared" ref="AG475" si="1330">AG474</f>
        <v>0</v>
      </c>
      <c r="AH475" s="410">
        <f t="shared" ref="AH475" si="1331">AH474</f>
        <v>0</v>
      </c>
      <c r="AI475" s="410">
        <f t="shared" ref="AI475" si="1332">AI474</f>
        <v>0</v>
      </c>
      <c r="AJ475" s="410">
        <f t="shared" ref="AJ475" si="1333">AJ474</f>
        <v>0</v>
      </c>
      <c r="AK475" s="410">
        <f t="shared" ref="AK475" si="1334">AK474</f>
        <v>0</v>
      </c>
      <c r="AL475" s="410">
        <f t="shared" ref="AL475" si="1335">AL474</f>
        <v>0</v>
      </c>
      <c r="AM475" s="306"/>
    </row>
    <row r="476" spans="1:39">
      <c r="A476" s="527"/>
      <c r="B476" s="428"/>
      <c r="C476" s="291"/>
      <c r="D476" s="758"/>
      <c r="E476" s="758"/>
      <c r="F476" s="758"/>
      <c r="G476" s="758"/>
      <c r="H476" s="758"/>
      <c r="I476" s="758"/>
      <c r="J476" s="758"/>
      <c r="K476" s="758"/>
      <c r="L476" s="758"/>
      <c r="M476" s="758"/>
      <c r="N476" s="758"/>
      <c r="O476" s="758"/>
      <c r="P476" s="758"/>
      <c r="Q476" s="758"/>
      <c r="R476" s="758"/>
      <c r="S476" s="758"/>
      <c r="T476" s="758"/>
      <c r="U476" s="758"/>
      <c r="V476" s="758"/>
      <c r="W476" s="758"/>
      <c r="X476" s="758"/>
      <c r="Y476" s="419"/>
      <c r="Z476" s="422"/>
      <c r="AA476" s="422"/>
      <c r="AB476" s="422"/>
      <c r="AC476" s="422"/>
      <c r="AD476" s="422"/>
      <c r="AE476" s="422"/>
      <c r="AF476" s="422"/>
      <c r="AG476" s="422"/>
      <c r="AH476" s="422"/>
      <c r="AI476" s="422"/>
      <c r="AJ476" s="422"/>
      <c r="AK476" s="422"/>
      <c r="AL476" s="422"/>
      <c r="AM476" s="306"/>
    </row>
    <row r="477" spans="1:39" ht="30">
      <c r="A477" s="527">
        <v>22</v>
      </c>
      <c r="B477" s="425" t="s">
        <v>114</v>
      </c>
      <c r="C477" s="291" t="s">
        <v>25</v>
      </c>
      <c r="D477" s="295">
        <f>+'7.  Persistence Report'!AW199</f>
        <v>1537439</v>
      </c>
      <c r="E477" s="295">
        <f>+'7.  Persistence Report'!AX199</f>
        <v>1537439</v>
      </c>
      <c r="F477" s="295">
        <f>+'7.  Persistence Report'!AY199</f>
        <v>1537439</v>
      </c>
      <c r="G477" s="295">
        <f>+'7.  Persistence Report'!AZ199</f>
        <v>1537439</v>
      </c>
      <c r="H477" s="295">
        <f>+'7.  Persistence Report'!BA199</f>
        <v>1537439</v>
      </c>
      <c r="I477" s="295">
        <f>+'7.  Persistence Report'!BB199</f>
        <v>1537439</v>
      </c>
      <c r="J477" s="295">
        <f>+'7.  Persistence Report'!BC199</f>
        <v>1537439</v>
      </c>
      <c r="K477" s="295">
        <f>+'7.  Persistence Report'!BD199</f>
        <v>1537439</v>
      </c>
      <c r="L477" s="295">
        <f>+'7.  Persistence Report'!BE199</f>
        <v>1537439</v>
      </c>
      <c r="M477" s="295">
        <f>+'7.  Persistence Report'!BF199</f>
        <v>1537439</v>
      </c>
      <c r="N477" s="758"/>
      <c r="O477" s="295">
        <f>+'7.  Persistence Report'!R199</f>
        <v>450</v>
      </c>
      <c r="P477" s="295">
        <f>+'7.  Persistence Report'!S199</f>
        <v>450</v>
      </c>
      <c r="Q477" s="295">
        <f>+'7.  Persistence Report'!T199</f>
        <v>450</v>
      </c>
      <c r="R477" s="295">
        <f>+'7.  Persistence Report'!U199</f>
        <v>450</v>
      </c>
      <c r="S477" s="295">
        <f>+'7.  Persistence Report'!V199</f>
        <v>450</v>
      </c>
      <c r="T477" s="295">
        <f>+'7.  Persistence Report'!W199</f>
        <v>450</v>
      </c>
      <c r="U477" s="295">
        <f>+'7.  Persistence Report'!X199</f>
        <v>450</v>
      </c>
      <c r="V477" s="295">
        <f>+'7.  Persistence Report'!Y199</f>
        <v>450</v>
      </c>
      <c r="W477" s="295">
        <f>+'7.  Persistence Report'!Z199</f>
        <v>450</v>
      </c>
      <c r="X477" s="295">
        <f>+'7.  Persistence Report'!AA199</f>
        <v>450</v>
      </c>
      <c r="Y477" s="772">
        <v>1</v>
      </c>
      <c r="Z477" s="409"/>
      <c r="AA477" s="409"/>
      <c r="AB477" s="409"/>
      <c r="AC477" s="409"/>
      <c r="AD477" s="409"/>
      <c r="AE477" s="409"/>
      <c r="AF477" s="409"/>
      <c r="AG477" s="409"/>
      <c r="AH477" s="409"/>
      <c r="AI477" s="409"/>
      <c r="AJ477" s="409"/>
      <c r="AK477" s="409"/>
      <c r="AL477" s="409"/>
      <c r="AM477" s="296">
        <f>SUM(Y477:AL477)</f>
        <v>1</v>
      </c>
    </row>
    <row r="478" spans="1:39">
      <c r="A478" s="527"/>
      <c r="B478" s="428" t="s">
        <v>308</v>
      </c>
      <c r="C478" s="917" t="s">
        <v>163</v>
      </c>
      <c r="D478" s="774">
        <f>+'7.  Persistence Report'!AW210</f>
        <v>139897</v>
      </c>
      <c r="E478" s="774">
        <f>+'7.  Persistence Report'!AX210</f>
        <v>139897</v>
      </c>
      <c r="F478" s="774">
        <f>+'7.  Persistence Report'!AY210</f>
        <v>139897</v>
      </c>
      <c r="G478" s="774">
        <f>+'7.  Persistence Report'!AZ210</f>
        <v>139897</v>
      </c>
      <c r="H478" s="295"/>
      <c r="I478" s="295"/>
      <c r="J478" s="295"/>
      <c r="K478" s="295"/>
      <c r="L478" s="295"/>
      <c r="M478" s="295"/>
      <c r="N478" s="758"/>
      <c r="O478" s="919"/>
      <c r="P478" s="919"/>
      <c r="Q478" s="919"/>
      <c r="R478" s="919"/>
      <c r="S478" s="295"/>
      <c r="T478" s="295"/>
      <c r="U478" s="295"/>
      <c r="V478" s="295"/>
      <c r="W478" s="295"/>
      <c r="X478" s="295"/>
      <c r="Y478" s="410">
        <f>Y477</f>
        <v>1</v>
      </c>
      <c r="Z478" s="410">
        <f t="shared" ref="Z478" si="1336">Z477</f>
        <v>0</v>
      </c>
      <c r="AA478" s="410">
        <f t="shared" ref="AA478" si="1337">AA477</f>
        <v>0</v>
      </c>
      <c r="AB478" s="410">
        <f t="shared" ref="AB478" si="1338">AB477</f>
        <v>0</v>
      </c>
      <c r="AC478" s="410">
        <f t="shared" ref="AC478" si="1339">AC477</f>
        <v>0</v>
      </c>
      <c r="AD478" s="410">
        <f t="shared" ref="AD478" si="1340">AD477</f>
        <v>0</v>
      </c>
      <c r="AE478" s="410">
        <f t="shared" ref="AE478" si="1341">AE477</f>
        <v>0</v>
      </c>
      <c r="AF478" s="410">
        <f t="shared" ref="AF478" si="1342">AF477</f>
        <v>0</v>
      </c>
      <c r="AG478" s="410">
        <f t="shared" ref="AG478" si="1343">AG477</f>
        <v>0</v>
      </c>
      <c r="AH478" s="410">
        <f t="shared" ref="AH478" si="1344">AH477</f>
        <v>0</v>
      </c>
      <c r="AI478" s="410">
        <f t="shared" ref="AI478" si="1345">AI477</f>
        <v>0</v>
      </c>
      <c r="AJ478" s="410">
        <f t="shared" ref="AJ478" si="1346">AJ477</f>
        <v>0</v>
      </c>
      <c r="AK478" s="410">
        <f t="shared" ref="AK478" si="1347">AK477</f>
        <v>0</v>
      </c>
      <c r="AL478" s="410">
        <f t="shared" ref="AL478" si="1348">AL477</f>
        <v>0</v>
      </c>
      <c r="AM478" s="306"/>
    </row>
    <row r="479" spans="1:39">
      <c r="A479" s="527"/>
      <c r="B479" s="428"/>
      <c r="C479" s="291"/>
      <c r="D479" s="758"/>
      <c r="E479" s="758"/>
      <c r="F479" s="758"/>
      <c r="G479" s="758"/>
      <c r="H479" s="758"/>
      <c r="I479" s="758"/>
      <c r="J479" s="758"/>
      <c r="K479" s="758"/>
      <c r="L479" s="758"/>
      <c r="M479" s="758"/>
      <c r="N479" s="758"/>
      <c r="O479" s="758"/>
      <c r="P479" s="758"/>
      <c r="Q479" s="758"/>
      <c r="R479" s="758"/>
      <c r="S479" s="758"/>
      <c r="T479" s="758"/>
      <c r="U479" s="758"/>
      <c r="V479" s="758"/>
      <c r="W479" s="758"/>
      <c r="X479" s="758"/>
      <c r="Y479" s="419"/>
      <c r="Z479" s="422"/>
      <c r="AA479" s="422"/>
      <c r="AB479" s="422"/>
      <c r="AC479" s="422"/>
      <c r="AD479" s="422"/>
      <c r="AE479" s="422"/>
      <c r="AF479" s="422"/>
      <c r="AG479" s="422"/>
      <c r="AH479" s="422"/>
      <c r="AI479" s="422"/>
      <c r="AJ479" s="422"/>
      <c r="AK479" s="422"/>
      <c r="AL479" s="422"/>
      <c r="AM479" s="306"/>
    </row>
    <row r="480" spans="1:39" ht="30">
      <c r="A480" s="527">
        <v>23</v>
      </c>
      <c r="B480" s="425" t="s">
        <v>115</v>
      </c>
      <c r="C480" s="291" t="s">
        <v>25</v>
      </c>
      <c r="D480" s="295">
        <f>+'7.  Persistence Report'!AW200</f>
        <v>56486</v>
      </c>
      <c r="E480" s="295">
        <f>+'7.  Persistence Report'!AX200</f>
        <v>56486</v>
      </c>
      <c r="F480" s="295">
        <f>+'7.  Persistence Report'!AY200</f>
        <v>56486</v>
      </c>
      <c r="G480" s="295">
        <f>+'7.  Persistence Report'!AZ200</f>
        <v>56486</v>
      </c>
      <c r="H480" s="295">
        <f>+'7.  Persistence Report'!BA200</f>
        <v>56486</v>
      </c>
      <c r="I480" s="295">
        <f>+'7.  Persistence Report'!BB200</f>
        <v>56486</v>
      </c>
      <c r="J480" s="295">
        <f>+'7.  Persistence Report'!BC200</f>
        <v>56486</v>
      </c>
      <c r="K480" s="295">
        <f>+'7.  Persistence Report'!BD200</f>
        <v>56486</v>
      </c>
      <c r="L480" s="295">
        <f>+'7.  Persistence Report'!BE200</f>
        <v>56486</v>
      </c>
      <c r="M480" s="295">
        <f>+'7.  Persistence Report'!BF200</f>
        <v>56486</v>
      </c>
      <c r="N480" s="758"/>
      <c r="O480" s="295">
        <f>+'7.  Persistence Report'!R200</f>
        <v>14</v>
      </c>
      <c r="P480" s="295">
        <f>+'7.  Persistence Report'!S200</f>
        <v>14</v>
      </c>
      <c r="Q480" s="295">
        <f>+'7.  Persistence Report'!T200</f>
        <v>14</v>
      </c>
      <c r="R480" s="295">
        <f>+'7.  Persistence Report'!U200</f>
        <v>14</v>
      </c>
      <c r="S480" s="295">
        <f>+'7.  Persistence Report'!V200</f>
        <v>14</v>
      </c>
      <c r="T480" s="295">
        <f>+'7.  Persistence Report'!W200</f>
        <v>14</v>
      </c>
      <c r="U480" s="295">
        <f>+'7.  Persistence Report'!X200</f>
        <v>14</v>
      </c>
      <c r="V480" s="295">
        <f>+'7.  Persistence Report'!Y200</f>
        <v>14</v>
      </c>
      <c r="W480" s="295">
        <f>+'7.  Persistence Report'!Z200</f>
        <v>14</v>
      </c>
      <c r="X480" s="295">
        <f>+'7.  Persistence Report'!AA200</f>
        <v>14</v>
      </c>
      <c r="Y480" s="772">
        <v>1</v>
      </c>
      <c r="Z480" s="409"/>
      <c r="AA480" s="409"/>
      <c r="AB480" s="409"/>
      <c r="AC480" s="409"/>
      <c r="AD480" s="409"/>
      <c r="AE480" s="409"/>
      <c r="AF480" s="409"/>
      <c r="AG480" s="409"/>
      <c r="AH480" s="409"/>
      <c r="AI480" s="409"/>
      <c r="AJ480" s="409"/>
      <c r="AK480" s="409"/>
      <c r="AL480" s="409"/>
      <c r="AM480" s="296">
        <f>SUM(Y480:AL480)</f>
        <v>1</v>
      </c>
    </row>
    <row r="481" spans="1:39">
      <c r="A481" s="527"/>
      <c r="B481" s="428" t="s">
        <v>308</v>
      </c>
      <c r="C481" s="291" t="s">
        <v>163</v>
      </c>
      <c r="D481" s="295"/>
      <c r="E481" s="295"/>
      <c r="F481" s="295"/>
      <c r="G481" s="295"/>
      <c r="H481" s="295"/>
      <c r="I481" s="295"/>
      <c r="J481" s="295"/>
      <c r="K481" s="295"/>
      <c r="L481" s="295"/>
      <c r="M481" s="295"/>
      <c r="N481" s="758"/>
      <c r="O481" s="295"/>
      <c r="P481" s="295"/>
      <c r="Q481" s="295"/>
      <c r="R481" s="295"/>
      <c r="S481" s="295"/>
      <c r="T481" s="295"/>
      <c r="U481" s="295"/>
      <c r="V481" s="295"/>
      <c r="W481" s="295"/>
      <c r="X481" s="295"/>
      <c r="Y481" s="410">
        <f>Y480</f>
        <v>1</v>
      </c>
      <c r="Z481" s="410">
        <f t="shared" ref="Z481" si="1349">Z480</f>
        <v>0</v>
      </c>
      <c r="AA481" s="410">
        <f t="shared" ref="AA481" si="1350">AA480</f>
        <v>0</v>
      </c>
      <c r="AB481" s="410">
        <f t="shared" ref="AB481" si="1351">AB480</f>
        <v>0</v>
      </c>
      <c r="AC481" s="410">
        <f t="shared" ref="AC481" si="1352">AC480</f>
        <v>0</v>
      </c>
      <c r="AD481" s="410">
        <f t="shared" ref="AD481" si="1353">AD480</f>
        <v>0</v>
      </c>
      <c r="AE481" s="410">
        <f t="shared" ref="AE481" si="1354">AE480</f>
        <v>0</v>
      </c>
      <c r="AF481" s="410">
        <f t="shared" ref="AF481" si="1355">AF480</f>
        <v>0</v>
      </c>
      <c r="AG481" s="410">
        <f t="shared" ref="AG481" si="1356">AG480</f>
        <v>0</v>
      </c>
      <c r="AH481" s="410">
        <f t="shared" ref="AH481" si="1357">AH480</f>
        <v>0</v>
      </c>
      <c r="AI481" s="410">
        <f t="shared" ref="AI481" si="1358">AI480</f>
        <v>0</v>
      </c>
      <c r="AJ481" s="410">
        <f t="shared" ref="AJ481" si="1359">AJ480</f>
        <v>0</v>
      </c>
      <c r="AK481" s="410">
        <f t="shared" ref="AK481" si="1360">AK480</f>
        <v>0</v>
      </c>
      <c r="AL481" s="410">
        <f t="shared" ref="AL481" si="1361">AL480</f>
        <v>0</v>
      </c>
      <c r="AM481" s="306"/>
    </row>
    <row r="482" spans="1:39">
      <c r="A482" s="527"/>
      <c r="B482" s="427"/>
      <c r="C482" s="291"/>
      <c r="D482" s="758"/>
      <c r="E482" s="758"/>
      <c r="F482" s="758"/>
      <c r="G482" s="758"/>
      <c r="H482" s="758"/>
      <c r="I482" s="758"/>
      <c r="J482" s="758"/>
      <c r="K482" s="758"/>
      <c r="L482" s="758"/>
      <c r="M482" s="758"/>
      <c r="N482" s="758"/>
      <c r="O482" s="758"/>
      <c r="P482" s="758"/>
      <c r="Q482" s="758"/>
      <c r="R482" s="758"/>
      <c r="S482" s="758"/>
      <c r="T482" s="758"/>
      <c r="U482" s="758"/>
      <c r="V482" s="758"/>
      <c r="W482" s="758"/>
      <c r="X482" s="758"/>
      <c r="Y482" s="419"/>
      <c r="Z482" s="422"/>
      <c r="AA482" s="422"/>
      <c r="AB482" s="422"/>
      <c r="AC482" s="422"/>
      <c r="AD482" s="422"/>
      <c r="AE482" s="422"/>
      <c r="AF482" s="422"/>
      <c r="AG482" s="422"/>
      <c r="AH482" s="422"/>
      <c r="AI482" s="422"/>
      <c r="AJ482" s="422"/>
      <c r="AK482" s="422"/>
      <c r="AL482" s="422"/>
      <c r="AM482" s="306"/>
    </row>
    <row r="483" spans="1:39" ht="30">
      <c r="A483" s="527">
        <v>24</v>
      </c>
      <c r="B483" s="425" t="s">
        <v>116</v>
      </c>
      <c r="C483" s="291" t="s">
        <v>25</v>
      </c>
      <c r="D483" s="295">
        <f>+'7.  Persistence Report'!AW201</f>
        <v>9874</v>
      </c>
      <c r="E483" s="295">
        <f>+'7.  Persistence Report'!AX201</f>
        <v>9874</v>
      </c>
      <c r="F483" s="295">
        <f>+'7.  Persistence Report'!AY201</f>
        <v>9874</v>
      </c>
      <c r="G483" s="295">
        <f>+'7.  Persistence Report'!AZ201</f>
        <v>9874</v>
      </c>
      <c r="H483" s="295">
        <f>+'7.  Persistence Report'!BA201</f>
        <v>9874</v>
      </c>
      <c r="I483" s="295">
        <f>+'7.  Persistence Report'!BB201</f>
        <v>9874</v>
      </c>
      <c r="J483" s="295">
        <f>+'7.  Persistence Report'!BC201</f>
        <v>9874</v>
      </c>
      <c r="K483" s="295">
        <f>+'7.  Persistence Report'!BD201</f>
        <v>9874</v>
      </c>
      <c r="L483" s="295">
        <f>+'7.  Persistence Report'!BE201</f>
        <v>9874</v>
      </c>
      <c r="M483" s="295">
        <f>+'7.  Persistence Report'!BF201</f>
        <v>9874</v>
      </c>
      <c r="N483" s="758"/>
      <c r="O483" s="295">
        <f>+'7.  Persistence Report'!R201</f>
        <v>3</v>
      </c>
      <c r="P483" s="295">
        <f>+'7.  Persistence Report'!S201</f>
        <v>3</v>
      </c>
      <c r="Q483" s="295">
        <f>+'7.  Persistence Report'!T201</f>
        <v>3</v>
      </c>
      <c r="R483" s="295">
        <f>+'7.  Persistence Report'!U201</f>
        <v>3</v>
      </c>
      <c r="S483" s="295">
        <f>+'7.  Persistence Report'!V201</f>
        <v>3</v>
      </c>
      <c r="T483" s="295">
        <f>+'7.  Persistence Report'!W201</f>
        <v>3</v>
      </c>
      <c r="U483" s="295">
        <f>+'7.  Persistence Report'!X201</f>
        <v>3</v>
      </c>
      <c r="V483" s="295">
        <f>+'7.  Persistence Report'!Y201</f>
        <v>3</v>
      </c>
      <c r="W483" s="295">
        <f>+'7.  Persistence Report'!Z201</f>
        <v>3</v>
      </c>
      <c r="X483" s="295">
        <f>+'7.  Persistence Report'!AA201</f>
        <v>3</v>
      </c>
      <c r="Y483" s="772">
        <v>1</v>
      </c>
      <c r="Z483" s="409"/>
      <c r="AA483" s="409"/>
      <c r="AB483" s="409"/>
      <c r="AC483" s="409"/>
      <c r="AD483" s="409"/>
      <c r="AE483" s="409"/>
      <c r="AF483" s="409"/>
      <c r="AG483" s="409"/>
      <c r="AH483" s="409"/>
      <c r="AI483" s="409"/>
      <c r="AJ483" s="409"/>
      <c r="AK483" s="409"/>
      <c r="AL483" s="409"/>
      <c r="AM483" s="296">
        <f>SUM(Y483:AL483)</f>
        <v>1</v>
      </c>
    </row>
    <row r="484" spans="1:39">
      <c r="A484" s="527"/>
      <c r="B484" s="428" t="s">
        <v>308</v>
      </c>
      <c r="C484" s="291" t="s">
        <v>163</v>
      </c>
      <c r="D484" s="295"/>
      <c r="E484" s="295"/>
      <c r="F484" s="295"/>
      <c r="G484" s="295"/>
      <c r="H484" s="295"/>
      <c r="I484" s="295"/>
      <c r="J484" s="295"/>
      <c r="K484" s="295"/>
      <c r="L484" s="295"/>
      <c r="M484" s="295"/>
      <c r="N484" s="758"/>
      <c r="O484" s="295"/>
      <c r="P484" s="295"/>
      <c r="Q484" s="295"/>
      <c r="R484" s="295"/>
      <c r="S484" s="295"/>
      <c r="T484" s="295"/>
      <c r="U484" s="295"/>
      <c r="V484" s="295"/>
      <c r="W484" s="295"/>
      <c r="X484" s="295"/>
      <c r="Y484" s="410">
        <f>Y483</f>
        <v>1</v>
      </c>
      <c r="Z484" s="410">
        <f t="shared" ref="Z484" si="1362">Z483</f>
        <v>0</v>
      </c>
      <c r="AA484" s="410">
        <f t="shared" ref="AA484" si="1363">AA483</f>
        <v>0</v>
      </c>
      <c r="AB484" s="410">
        <f t="shared" ref="AB484" si="1364">AB483</f>
        <v>0</v>
      </c>
      <c r="AC484" s="410">
        <f t="shared" ref="AC484" si="1365">AC483</f>
        <v>0</v>
      </c>
      <c r="AD484" s="410">
        <f t="shared" ref="AD484" si="1366">AD483</f>
        <v>0</v>
      </c>
      <c r="AE484" s="410">
        <f t="shared" ref="AE484" si="1367">AE483</f>
        <v>0</v>
      </c>
      <c r="AF484" s="410">
        <f t="shared" ref="AF484" si="1368">AF483</f>
        <v>0</v>
      </c>
      <c r="AG484" s="410">
        <f t="shared" ref="AG484" si="1369">AG483</f>
        <v>0</v>
      </c>
      <c r="AH484" s="410">
        <f t="shared" ref="AH484" si="1370">AH483</f>
        <v>0</v>
      </c>
      <c r="AI484" s="410">
        <f t="shared" ref="AI484" si="1371">AI483</f>
        <v>0</v>
      </c>
      <c r="AJ484" s="410">
        <f t="shared" ref="AJ484" si="1372">AJ483</f>
        <v>0</v>
      </c>
      <c r="AK484" s="410">
        <f t="shared" ref="AK484" si="1373">AK483</f>
        <v>0</v>
      </c>
      <c r="AL484" s="410">
        <f t="shared" ref="AL484" si="1374">AL483</f>
        <v>0</v>
      </c>
      <c r="AM484" s="306"/>
    </row>
    <row r="485" spans="1:39" s="770" customFormat="1">
      <c r="A485" s="916"/>
      <c r="B485" s="915"/>
      <c r="C485" s="780"/>
      <c r="D485" s="758"/>
      <c r="E485" s="758"/>
      <c r="F485" s="758"/>
      <c r="G485" s="758"/>
      <c r="H485" s="758"/>
      <c r="I485" s="758"/>
      <c r="J485" s="758"/>
      <c r="K485" s="758"/>
      <c r="L485" s="758"/>
      <c r="M485" s="758"/>
      <c r="N485" s="758"/>
      <c r="O485" s="758"/>
      <c r="P485" s="758"/>
      <c r="Q485" s="758"/>
      <c r="R485" s="758"/>
      <c r="S485" s="758"/>
      <c r="T485" s="758"/>
      <c r="U485" s="758"/>
      <c r="V485" s="758"/>
      <c r="W485" s="758"/>
      <c r="X485" s="758"/>
      <c r="Y485" s="781"/>
      <c r="Z485" s="781"/>
      <c r="AA485" s="781"/>
      <c r="AB485" s="781"/>
      <c r="AC485" s="781"/>
      <c r="AD485" s="781"/>
      <c r="AE485" s="781"/>
      <c r="AF485" s="781"/>
      <c r="AG485" s="781"/>
      <c r="AH485" s="781"/>
      <c r="AI485" s="781"/>
      <c r="AJ485" s="781"/>
      <c r="AK485" s="781"/>
      <c r="AL485" s="781"/>
      <c r="AM485" s="769"/>
    </row>
    <row r="486" spans="1:39" ht="30">
      <c r="A486" s="916"/>
      <c r="B486" s="914" t="s">
        <v>778</v>
      </c>
      <c r="C486" s="758" t="s">
        <v>25</v>
      </c>
      <c r="D486" s="295">
        <f>'7.  Persistence Report'!AW198</f>
        <v>6676070</v>
      </c>
      <c r="E486" s="295">
        <f>'7.  Persistence Report'!AX198</f>
        <v>4834733</v>
      </c>
      <c r="F486" s="295">
        <f>'7.  Persistence Report'!AY198</f>
        <v>4834733</v>
      </c>
      <c r="G486" s="295">
        <f>'7.  Persistence Report'!AZ198</f>
        <v>4834733</v>
      </c>
      <c r="H486" s="295">
        <f>'7.  Persistence Report'!BA198</f>
        <v>4834733</v>
      </c>
      <c r="I486" s="295">
        <f>'7.  Persistence Report'!BB198</f>
        <v>4834733</v>
      </c>
      <c r="J486" s="295">
        <f>'7.  Persistence Report'!BC198</f>
        <v>4834733</v>
      </c>
      <c r="K486" s="295">
        <f>'7.  Persistence Report'!BD198</f>
        <v>4834640</v>
      </c>
      <c r="L486" s="295">
        <f>'7.  Persistence Report'!BE198</f>
        <v>4834640</v>
      </c>
      <c r="M486" s="295">
        <f>'7.  Persistence Report'!BF198</f>
        <v>4834640</v>
      </c>
      <c r="N486" s="758"/>
      <c r="O486" s="295">
        <f>+'7.  Persistence Report'!R198</f>
        <v>458</v>
      </c>
      <c r="P486" s="295">
        <f>+'7.  Persistence Report'!S198</f>
        <v>334</v>
      </c>
      <c r="Q486" s="295">
        <f>+'7.  Persistence Report'!T198</f>
        <v>334</v>
      </c>
      <c r="R486" s="295">
        <f>+'7.  Persistence Report'!U198</f>
        <v>334</v>
      </c>
      <c r="S486" s="295">
        <f>+'7.  Persistence Report'!V198</f>
        <v>334</v>
      </c>
      <c r="T486" s="295">
        <f>+'7.  Persistence Report'!W198</f>
        <v>334</v>
      </c>
      <c r="U486" s="295">
        <f>+'7.  Persistence Report'!X198</f>
        <v>334</v>
      </c>
      <c r="V486" s="295">
        <f>+'7.  Persistence Report'!Y198</f>
        <v>334</v>
      </c>
      <c r="W486" s="295">
        <f>+'7.  Persistence Report'!Z198</f>
        <v>334</v>
      </c>
      <c r="X486" s="295">
        <f>+'7.  Persistence Report'!AA198</f>
        <v>334</v>
      </c>
      <c r="Y486" s="772">
        <v>1</v>
      </c>
      <c r="Z486" s="772"/>
      <c r="AA486" s="772"/>
      <c r="AB486" s="772"/>
      <c r="AC486" s="772"/>
      <c r="AD486" s="772"/>
      <c r="AE486" s="772"/>
      <c r="AF486" s="772"/>
      <c r="AG486" s="772"/>
      <c r="AH486" s="772"/>
      <c r="AI486" s="772"/>
      <c r="AJ486" s="772"/>
      <c r="AK486" s="772"/>
      <c r="AL486" s="772"/>
      <c r="AM486" s="296">
        <f>SUM(Y486:AL486)</f>
        <v>1</v>
      </c>
    </row>
    <row r="487" spans="1:39">
      <c r="A487" s="916"/>
      <c r="B487" s="913" t="s">
        <v>308</v>
      </c>
      <c r="C487" s="758" t="s">
        <v>163</v>
      </c>
      <c r="D487" s="774"/>
      <c r="E487" s="774"/>
      <c r="F487" s="774"/>
      <c r="G487" s="774"/>
      <c r="H487" s="295"/>
      <c r="I487" s="295"/>
      <c r="J487" s="295"/>
      <c r="K487" s="295"/>
      <c r="L487" s="295"/>
      <c r="M487" s="295"/>
      <c r="N487" s="758"/>
      <c r="O487" s="295"/>
      <c r="P487" s="295"/>
      <c r="Q487" s="295"/>
      <c r="R487" s="295"/>
      <c r="S487" s="295"/>
      <c r="T487" s="295"/>
      <c r="U487" s="295"/>
      <c r="V487" s="295"/>
      <c r="W487" s="295"/>
      <c r="X487" s="295"/>
      <c r="Y487" s="776">
        <f>Y486</f>
        <v>1</v>
      </c>
      <c r="Z487" s="776">
        <f t="shared" ref="Z487:AL487" si="1375">Z486</f>
        <v>0</v>
      </c>
      <c r="AA487" s="776">
        <f t="shared" si="1375"/>
        <v>0</v>
      </c>
      <c r="AB487" s="776">
        <f t="shared" si="1375"/>
        <v>0</v>
      </c>
      <c r="AC487" s="776">
        <f t="shared" si="1375"/>
        <v>0</v>
      </c>
      <c r="AD487" s="776">
        <f t="shared" si="1375"/>
        <v>0</v>
      </c>
      <c r="AE487" s="776">
        <f t="shared" si="1375"/>
        <v>0</v>
      </c>
      <c r="AF487" s="776">
        <f t="shared" si="1375"/>
        <v>0</v>
      </c>
      <c r="AG487" s="776">
        <f t="shared" si="1375"/>
        <v>0</v>
      </c>
      <c r="AH487" s="776">
        <f t="shared" si="1375"/>
        <v>0</v>
      </c>
      <c r="AI487" s="776">
        <f t="shared" si="1375"/>
        <v>0</v>
      </c>
      <c r="AJ487" s="776">
        <f t="shared" si="1375"/>
        <v>0</v>
      </c>
      <c r="AK487" s="776">
        <f t="shared" si="1375"/>
        <v>0</v>
      </c>
      <c r="AL487" s="776">
        <f t="shared" si="1375"/>
        <v>0</v>
      </c>
      <c r="AM487" s="306"/>
    </row>
    <row r="488" spans="1:39">
      <c r="A488" s="527"/>
      <c r="B488" s="775"/>
      <c r="C488" s="758"/>
      <c r="D488" s="758"/>
      <c r="E488" s="758"/>
      <c r="F488" s="758"/>
      <c r="G488" s="758"/>
      <c r="H488" s="758"/>
      <c r="I488" s="758"/>
      <c r="J488" s="758"/>
      <c r="K488" s="758"/>
      <c r="L488" s="758"/>
      <c r="M488" s="758"/>
      <c r="N488" s="758"/>
      <c r="O488" s="758"/>
      <c r="P488" s="758"/>
      <c r="Q488" s="758"/>
      <c r="R488" s="758"/>
      <c r="S488" s="758"/>
      <c r="T488" s="758"/>
      <c r="U488" s="758"/>
      <c r="V488" s="758"/>
      <c r="W488" s="758"/>
      <c r="X488" s="758"/>
      <c r="Y488" s="777"/>
      <c r="Z488" s="778"/>
      <c r="AA488" s="778"/>
      <c r="AB488" s="778"/>
      <c r="AC488" s="778"/>
      <c r="AD488" s="778"/>
      <c r="AE488" s="778"/>
      <c r="AF488" s="778"/>
      <c r="AG488" s="778"/>
      <c r="AH488" s="778"/>
      <c r="AI488" s="778"/>
      <c r="AJ488" s="778"/>
      <c r="AK488" s="778"/>
      <c r="AL488" s="778"/>
      <c r="AM488" s="306"/>
    </row>
    <row r="489" spans="1:39" ht="15.75">
      <c r="A489" s="527"/>
      <c r="B489" s="499" t="s">
        <v>500</v>
      </c>
      <c r="C489" s="291"/>
      <c r="D489" s="758"/>
      <c r="E489" s="758"/>
      <c r="F489" s="758"/>
      <c r="G489" s="758"/>
      <c r="H489" s="758"/>
      <c r="I489" s="758"/>
      <c r="J489" s="758"/>
      <c r="K489" s="758"/>
      <c r="L489" s="758"/>
      <c r="M489" s="758"/>
      <c r="N489" s="758"/>
      <c r="O489" s="758"/>
      <c r="P489" s="758"/>
      <c r="Q489" s="758"/>
      <c r="R489" s="758"/>
      <c r="S489" s="758"/>
      <c r="T489" s="758"/>
      <c r="U489" s="758"/>
      <c r="V489" s="758"/>
      <c r="W489" s="758"/>
      <c r="X489" s="758"/>
      <c r="Y489" s="411"/>
      <c r="Z489" s="422"/>
      <c r="AA489" s="422"/>
      <c r="AB489" s="422"/>
      <c r="AC489" s="422"/>
      <c r="AD489" s="422"/>
      <c r="AE489" s="422"/>
      <c r="AF489" s="422"/>
      <c r="AG489" s="422"/>
      <c r="AH489" s="422"/>
      <c r="AI489" s="422"/>
      <c r="AJ489" s="422"/>
      <c r="AK489" s="422"/>
      <c r="AL489" s="422"/>
      <c r="AM489" s="306"/>
    </row>
    <row r="490" spans="1:39" ht="30">
      <c r="A490" s="527">
        <v>25</v>
      </c>
      <c r="B490" s="425" t="s">
        <v>117</v>
      </c>
      <c r="C490" s="291" t="s">
        <v>25</v>
      </c>
      <c r="D490" s="295"/>
      <c r="E490" s="295"/>
      <c r="F490" s="295"/>
      <c r="G490" s="295"/>
      <c r="H490" s="295"/>
      <c r="I490" s="295"/>
      <c r="J490" s="295"/>
      <c r="K490" s="295"/>
      <c r="L490" s="295"/>
      <c r="M490" s="295"/>
      <c r="N490" s="295"/>
      <c r="O490" s="295"/>
      <c r="P490" s="295"/>
      <c r="Q490" s="295"/>
      <c r="R490" s="295"/>
      <c r="S490" s="295"/>
      <c r="T490" s="295"/>
      <c r="U490" s="295"/>
      <c r="V490" s="295"/>
      <c r="W490" s="295"/>
      <c r="X490" s="295"/>
      <c r="Y490" s="423"/>
      <c r="Z490" s="409"/>
      <c r="AA490" s="409"/>
      <c r="AB490" s="409"/>
      <c r="AC490" s="409"/>
      <c r="AD490" s="409"/>
      <c r="AE490" s="409"/>
      <c r="AF490" s="414"/>
      <c r="AG490" s="414"/>
      <c r="AH490" s="414"/>
      <c r="AI490" s="414"/>
      <c r="AJ490" s="414"/>
      <c r="AK490" s="414"/>
      <c r="AL490" s="414"/>
      <c r="AM490" s="296">
        <f>SUM(Y490:AL490)</f>
        <v>0</v>
      </c>
    </row>
    <row r="491" spans="1:39">
      <c r="A491" s="527"/>
      <c r="B491" s="428" t="s">
        <v>308</v>
      </c>
      <c r="C491" s="291" t="s">
        <v>163</v>
      </c>
      <c r="D491" s="295"/>
      <c r="E491" s="295"/>
      <c r="F491" s="295"/>
      <c r="G491" s="295"/>
      <c r="H491" s="295"/>
      <c r="I491" s="295"/>
      <c r="J491" s="295"/>
      <c r="K491" s="295"/>
      <c r="L491" s="295"/>
      <c r="M491" s="295"/>
      <c r="N491" s="295"/>
      <c r="O491" s="295"/>
      <c r="P491" s="295"/>
      <c r="Q491" s="295"/>
      <c r="R491" s="295"/>
      <c r="S491" s="295"/>
      <c r="T491" s="295"/>
      <c r="U491" s="295"/>
      <c r="V491" s="295"/>
      <c r="W491" s="295"/>
      <c r="X491" s="295"/>
      <c r="Y491" s="410">
        <f>Y490</f>
        <v>0</v>
      </c>
      <c r="Z491" s="410">
        <f t="shared" ref="Z491" si="1376">Z490</f>
        <v>0</v>
      </c>
      <c r="AA491" s="410">
        <f t="shared" ref="AA491" si="1377">AA490</f>
        <v>0</v>
      </c>
      <c r="AB491" s="410">
        <f t="shared" ref="AB491" si="1378">AB490</f>
        <v>0</v>
      </c>
      <c r="AC491" s="410">
        <f t="shared" ref="AC491" si="1379">AC490</f>
        <v>0</v>
      </c>
      <c r="AD491" s="410">
        <f t="shared" ref="AD491" si="1380">AD490</f>
        <v>0</v>
      </c>
      <c r="AE491" s="410">
        <f t="shared" ref="AE491" si="1381">AE490</f>
        <v>0</v>
      </c>
      <c r="AF491" s="410">
        <f t="shared" ref="AF491" si="1382">AF490</f>
        <v>0</v>
      </c>
      <c r="AG491" s="410">
        <f t="shared" ref="AG491" si="1383">AG490</f>
        <v>0</v>
      </c>
      <c r="AH491" s="410">
        <f t="shared" ref="AH491" si="1384">AH490</f>
        <v>0</v>
      </c>
      <c r="AI491" s="410">
        <f t="shared" ref="AI491" si="1385">AI490</f>
        <v>0</v>
      </c>
      <c r="AJ491" s="410">
        <f t="shared" ref="AJ491" si="1386">AJ490</f>
        <v>0</v>
      </c>
      <c r="AK491" s="410">
        <f t="shared" ref="AK491" si="1387">AK490</f>
        <v>0</v>
      </c>
      <c r="AL491" s="410">
        <f t="shared" ref="AL491" si="1388">AL490</f>
        <v>0</v>
      </c>
      <c r="AM491" s="306"/>
    </row>
    <row r="492" spans="1:39">
      <c r="A492" s="527"/>
      <c r="B492" s="428"/>
      <c r="C492" s="291"/>
      <c r="D492" s="758"/>
      <c r="E492" s="758"/>
      <c r="F492" s="758"/>
      <c r="G492" s="758"/>
      <c r="H492" s="758"/>
      <c r="I492" s="758"/>
      <c r="J492" s="758"/>
      <c r="K492" s="758"/>
      <c r="L492" s="758"/>
      <c r="M492" s="758"/>
      <c r="N492" s="758"/>
      <c r="O492" s="758"/>
      <c r="P492" s="758"/>
      <c r="Q492" s="758"/>
      <c r="R492" s="758"/>
      <c r="S492" s="758"/>
      <c r="T492" s="758"/>
      <c r="U492" s="758"/>
      <c r="V492" s="758"/>
      <c r="W492" s="758"/>
      <c r="X492" s="758"/>
      <c r="Y492" s="411"/>
      <c r="Z492" s="422"/>
      <c r="AA492" s="422"/>
      <c r="AB492" s="422"/>
      <c r="AC492" s="422"/>
      <c r="AD492" s="422"/>
      <c r="AE492" s="422"/>
      <c r="AF492" s="422"/>
      <c r="AG492" s="422"/>
      <c r="AH492" s="422"/>
      <c r="AI492" s="422"/>
      <c r="AJ492" s="422"/>
      <c r="AK492" s="422"/>
      <c r="AL492" s="422"/>
      <c r="AM492" s="306"/>
    </row>
    <row r="493" spans="1:39" ht="30">
      <c r="A493" s="527">
        <v>26</v>
      </c>
      <c r="B493" s="425" t="s">
        <v>118</v>
      </c>
      <c r="C493" s="291" t="s">
        <v>25</v>
      </c>
      <c r="D493" s="912">
        <f>+'7.  Persistence Report'!AW202</f>
        <v>23630919</v>
      </c>
      <c r="E493" s="912">
        <f>+'7.  Persistence Report'!AX202</f>
        <v>23734708</v>
      </c>
      <c r="F493" s="912">
        <f>+'7.  Persistence Report'!AY202</f>
        <v>23734708</v>
      </c>
      <c r="G493" s="912">
        <f>+'7.  Persistence Report'!AZ202</f>
        <v>23734708</v>
      </c>
      <c r="H493" s="912">
        <f>+'7.  Persistence Report'!BA202</f>
        <v>23734708</v>
      </c>
      <c r="I493" s="912">
        <f>+'7.  Persistence Report'!BB202</f>
        <v>23243403</v>
      </c>
      <c r="J493" s="912">
        <f>+'7.  Persistence Report'!BC202</f>
        <v>23243403</v>
      </c>
      <c r="K493" s="912">
        <f>+'7.  Persistence Report'!BD202</f>
        <v>23243403</v>
      </c>
      <c r="L493" s="912">
        <f>+'7.  Persistence Report'!BE202</f>
        <v>23066220</v>
      </c>
      <c r="M493" s="912">
        <f>+'7.  Persistence Report'!BF202</f>
        <v>23066220</v>
      </c>
      <c r="N493" s="295">
        <v>12</v>
      </c>
      <c r="O493" s="295">
        <f>+'7.  Persistence Report'!R202</f>
        <v>3304</v>
      </c>
      <c r="P493" s="295">
        <f>+'7.  Persistence Report'!S202</f>
        <v>3344</v>
      </c>
      <c r="Q493" s="295">
        <f>+'7.  Persistence Report'!T202</f>
        <v>3344</v>
      </c>
      <c r="R493" s="295">
        <f>+'7.  Persistence Report'!U202</f>
        <v>3344</v>
      </c>
      <c r="S493" s="295">
        <f>+'7.  Persistence Report'!V202</f>
        <v>3344</v>
      </c>
      <c r="T493" s="295">
        <f>+'7.  Persistence Report'!W202</f>
        <v>3244</v>
      </c>
      <c r="U493" s="295">
        <f>+'7.  Persistence Report'!X202</f>
        <v>3244</v>
      </c>
      <c r="V493" s="295">
        <f>+'7.  Persistence Report'!Y202</f>
        <v>3244</v>
      </c>
      <c r="W493" s="295">
        <f>+'7.  Persistence Report'!Z202</f>
        <v>3243</v>
      </c>
      <c r="X493" s="295">
        <f>+'7.  Persistence Report'!AA202</f>
        <v>3243</v>
      </c>
      <c r="Y493" s="423"/>
      <c r="Z493" s="924">
        <f>+'3-a.  Rate Class Allocations'!M51</f>
        <v>0.11</v>
      </c>
      <c r="AA493" s="924">
        <f>+'3-a.  Rate Class Allocations'!N51</f>
        <v>0.77200000000000002</v>
      </c>
      <c r="AB493" s="409"/>
      <c r="AC493" s="409"/>
      <c r="AD493" s="409"/>
      <c r="AE493" s="409"/>
      <c r="AF493" s="414"/>
      <c r="AG493" s="414"/>
      <c r="AH493" s="414"/>
      <c r="AI493" s="414"/>
      <c r="AJ493" s="414"/>
      <c r="AK493" s="414"/>
      <c r="AL493" s="414"/>
      <c r="AM493" s="296">
        <f>SUM(Y493:AL493)</f>
        <v>0.88200000000000001</v>
      </c>
    </row>
    <row r="494" spans="1:39">
      <c r="A494" s="527"/>
      <c r="B494" s="915" t="s">
        <v>842</v>
      </c>
      <c r="C494" s="923" t="s">
        <v>780</v>
      </c>
      <c r="D494" s="912">
        <f>-'8. Streetlighting'!J23</f>
        <v>-2286980.2759515466</v>
      </c>
      <c r="E494" s="912">
        <f>-'8. Streetlighting'!J24</f>
        <v>-7845232.4222105686</v>
      </c>
      <c r="F494" s="912">
        <f>-'8. Streetlighting'!J25</f>
        <v>-7845232.4222105686</v>
      </c>
      <c r="G494" s="912">
        <f>-'8. Streetlighting'!J26</f>
        <v>-7845232.4222105686</v>
      </c>
      <c r="H494" s="912"/>
      <c r="I494" s="912"/>
      <c r="J494" s="912"/>
      <c r="K494" s="912"/>
      <c r="L494" s="912"/>
      <c r="M494" s="912"/>
      <c r="N494" s="295">
        <v>12</v>
      </c>
      <c r="O494" s="295"/>
      <c r="P494" s="295"/>
      <c r="Q494" s="295"/>
      <c r="R494" s="295"/>
      <c r="S494" s="295"/>
      <c r="T494" s="295"/>
      <c r="U494" s="295"/>
      <c r="V494" s="295"/>
      <c r="W494" s="295"/>
      <c r="X494" s="295"/>
      <c r="Y494" s="835"/>
      <c r="Z494" s="410">
        <f>Z493</f>
        <v>0.11</v>
      </c>
      <c r="AA494" s="410">
        <f>AA493</f>
        <v>0.77200000000000002</v>
      </c>
      <c r="AB494" s="836"/>
      <c r="AC494" s="836"/>
      <c r="AD494" s="836"/>
      <c r="AE494" s="836"/>
      <c r="AF494" s="837"/>
      <c r="AG494" s="837"/>
      <c r="AH494" s="837"/>
      <c r="AI494" s="837"/>
      <c r="AJ494" s="837"/>
      <c r="AK494" s="837"/>
      <c r="AL494" s="837"/>
      <c r="AM494" s="838"/>
    </row>
    <row r="495" spans="1:39">
      <c r="A495" s="527"/>
      <c r="B495" s="915" t="s">
        <v>843</v>
      </c>
      <c r="C495" s="339"/>
      <c r="D495" s="912"/>
      <c r="E495" s="912"/>
      <c r="F495" s="912"/>
      <c r="G495" s="912"/>
      <c r="H495" s="912"/>
      <c r="I495" s="912"/>
      <c r="J495" s="912"/>
      <c r="K495" s="912"/>
      <c r="L495" s="912"/>
      <c r="M495" s="912"/>
      <c r="N495" s="295">
        <v>1</v>
      </c>
      <c r="O495" s="295">
        <f>'8. Streetlighting'!I23</f>
        <v>6376.4073809999991</v>
      </c>
      <c r="P495" s="295">
        <f>'8. Streetlighting'!I24</f>
        <v>21874.958603999996</v>
      </c>
      <c r="Q495" s="295">
        <f>'8. Streetlighting'!I25</f>
        <v>21874.958603999996</v>
      </c>
      <c r="R495" s="295">
        <f>'8. Streetlighting'!I26</f>
        <v>21874.958603999996</v>
      </c>
      <c r="S495" s="295"/>
      <c r="T495" s="295"/>
      <c r="U495" s="295"/>
      <c r="V495" s="295"/>
      <c r="W495" s="295"/>
      <c r="X495" s="295"/>
      <c r="Y495" s="835"/>
      <c r="Z495" s="410"/>
      <c r="AA495" s="410"/>
      <c r="AB495" s="897">
        <v>1</v>
      </c>
      <c r="AC495" s="836"/>
      <c r="AD495" s="836"/>
      <c r="AE495" s="836"/>
      <c r="AF495" s="837"/>
      <c r="AG495" s="837"/>
      <c r="AH495" s="837"/>
      <c r="AI495" s="837"/>
      <c r="AJ495" s="837"/>
      <c r="AK495" s="837"/>
      <c r="AL495" s="837"/>
      <c r="AM495" s="838"/>
    </row>
    <row r="496" spans="1:39">
      <c r="A496" s="527"/>
      <c r="B496" s="428" t="s">
        <v>308</v>
      </c>
      <c r="C496" s="758" t="s">
        <v>163</v>
      </c>
      <c r="D496" s="911">
        <f>+'7.  Persistence Report'!AW212</f>
        <v>1500275</v>
      </c>
      <c r="E496" s="911">
        <f>+'7.  Persistence Report'!AX212</f>
        <v>1500275</v>
      </c>
      <c r="F496" s="911">
        <f>+'7.  Persistence Report'!AY212</f>
        <v>1492773.625</v>
      </c>
      <c r="G496" s="911">
        <f>+'7.  Persistence Report'!AZ212</f>
        <v>1492773.625</v>
      </c>
      <c r="H496" s="912"/>
      <c r="I496" s="912"/>
      <c r="J496" s="912"/>
      <c r="K496" s="912"/>
      <c r="L496" s="912"/>
      <c r="M496" s="912"/>
      <c r="N496" s="295">
        <f>N493</f>
        <v>12</v>
      </c>
      <c r="O496" s="295"/>
      <c r="P496" s="295"/>
      <c r="Q496" s="295"/>
      <c r="R496" s="295"/>
      <c r="S496" s="295"/>
      <c r="T496" s="295"/>
      <c r="U496" s="295"/>
      <c r="V496" s="295"/>
      <c r="W496" s="295"/>
      <c r="X496" s="295"/>
      <c r="Y496" s="410">
        <f>Y493</f>
        <v>0</v>
      </c>
      <c r="Z496" s="410">
        <f>Z493</f>
        <v>0.11</v>
      </c>
      <c r="AA496" s="410">
        <f t="shared" ref="AA496" si="1389">AA493</f>
        <v>0.77200000000000002</v>
      </c>
      <c r="AB496" s="410">
        <f t="shared" ref="AB496" si="1390">AB493</f>
        <v>0</v>
      </c>
      <c r="AC496" s="410">
        <f t="shared" ref="AC496" si="1391">AC493</f>
        <v>0</v>
      </c>
      <c r="AD496" s="410">
        <f t="shared" ref="AD496" si="1392">AD493</f>
        <v>0</v>
      </c>
      <c r="AE496" s="410">
        <f t="shared" ref="AE496" si="1393">AE493</f>
        <v>0</v>
      </c>
      <c r="AF496" s="410">
        <f t="shared" ref="AF496" si="1394">AF493</f>
        <v>0</v>
      </c>
      <c r="AG496" s="410">
        <f t="shared" ref="AG496" si="1395">AG493</f>
        <v>0</v>
      </c>
      <c r="AH496" s="410">
        <f t="shared" ref="AH496" si="1396">AH493</f>
        <v>0</v>
      </c>
      <c r="AI496" s="410">
        <f t="shared" ref="AI496" si="1397">AI493</f>
        <v>0</v>
      </c>
      <c r="AJ496" s="410">
        <f t="shared" ref="AJ496" si="1398">AJ493</f>
        <v>0</v>
      </c>
      <c r="AK496" s="410">
        <f t="shared" ref="AK496" si="1399">AK493</f>
        <v>0</v>
      </c>
      <c r="AL496" s="410">
        <f t="shared" ref="AL496" si="1400">AL493</f>
        <v>0</v>
      </c>
      <c r="AM496" s="306"/>
    </row>
    <row r="497" spans="1:39">
      <c r="A497" s="527"/>
      <c r="B497" s="428"/>
      <c r="C497" s="339"/>
      <c r="D497" s="758"/>
      <c r="E497" s="758"/>
      <c r="F497" s="758"/>
      <c r="G497" s="758"/>
      <c r="H497" s="758"/>
      <c r="I497" s="758"/>
      <c r="J497" s="758"/>
      <c r="K497" s="758"/>
      <c r="L497" s="758"/>
      <c r="M497" s="758"/>
      <c r="N497" s="758"/>
      <c r="O497" s="758"/>
      <c r="P497" s="758"/>
      <c r="Q497" s="758"/>
      <c r="R497" s="758"/>
      <c r="S497" s="758"/>
      <c r="T497" s="758"/>
      <c r="U497" s="758"/>
      <c r="V497" s="758"/>
      <c r="W497" s="758"/>
      <c r="X497" s="758"/>
      <c r="Y497" s="411"/>
      <c r="Z497" s="422"/>
      <c r="AA497" s="422"/>
      <c r="AB497" s="422"/>
      <c r="AC497" s="422"/>
      <c r="AD497" s="422"/>
      <c r="AE497" s="422"/>
      <c r="AF497" s="422"/>
      <c r="AG497" s="422"/>
      <c r="AH497" s="422"/>
      <c r="AI497" s="422"/>
      <c r="AJ497" s="422"/>
      <c r="AK497" s="422"/>
      <c r="AL497" s="422"/>
      <c r="AM497" s="306"/>
    </row>
    <row r="498" spans="1:39" ht="30">
      <c r="A498" s="527">
        <v>27</v>
      </c>
      <c r="B498" s="425" t="s">
        <v>119</v>
      </c>
      <c r="C498" s="291" t="s">
        <v>25</v>
      </c>
      <c r="D498" s="295">
        <f>+'7.  Persistence Report'!AW203</f>
        <v>5544</v>
      </c>
      <c r="E498" s="295">
        <f>+'7.  Persistence Report'!AX203</f>
        <v>5544</v>
      </c>
      <c r="F498" s="295">
        <f>+'7.  Persistence Report'!AY203</f>
        <v>5544</v>
      </c>
      <c r="G498" s="295">
        <f>+'7.  Persistence Report'!AZ203</f>
        <v>5544</v>
      </c>
      <c r="H498" s="295">
        <f>+'7.  Persistence Report'!BA203</f>
        <v>5544</v>
      </c>
      <c r="I498" s="295">
        <f>+'7.  Persistence Report'!BB203</f>
        <v>5482</v>
      </c>
      <c r="J498" s="295">
        <f>+'7.  Persistence Report'!BC203</f>
        <v>4916</v>
      </c>
      <c r="K498" s="295">
        <f>+'7.  Persistence Report'!BD203</f>
        <v>4916</v>
      </c>
      <c r="L498" s="295">
        <f>+'7.  Persistence Report'!BE203</f>
        <v>3855</v>
      </c>
      <c r="M498" s="295">
        <f>+'7.  Persistence Report'!BF203</f>
        <v>3855</v>
      </c>
      <c r="N498" s="295">
        <v>12</v>
      </c>
      <c r="O498" s="295">
        <f>+'7.  Persistence Report'!R203</f>
        <v>2</v>
      </c>
      <c r="P498" s="295">
        <f>+'7.  Persistence Report'!S203</f>
        <v>2</v>
      </c>
      <c r="Q498" s="295">
        <f>+'7.  Persistence Report'!T203</f>
        <v>2</v>
      </c>
      <c r="R498" s="295">
        <f>+'7.  Persistence Report'!U203</f>
        <v>2</v>
      </c>
      <c r="S498" s="295">
        <f>+'7.  Persistence Report'!V203</f>
        <v>2</v>
      </c>
      <c r="T498" s="295">
        <f>+'7.  Persistence Report'!W203</f>
        <v>2</v>
      </c>
      <c r="U498" s="295">
        <f>+'7.  Persistence Report'!X203</f>
        <v>1</v>
      </c>
      <c r="V498" s="295">
        <f>+'7.  Persistence Report'!Y203</f>
        <v>1</v>
      </c>
      <c r="W498" s="295">
        <f>+'7.  Persistence Report'!Z203</f>
        <v>1</v>
      </c>
      <c r="X498" s="295">
        <f>+'7.  Persistence Report'!AA203</f>
        <v>1</v>
      </c>
      <c r="Y498" s="423"/>
      <c r="Z498" s="772">
        <v>1</v>
      </c>
      <c r="AA498" s="409"/>
      <c r="AB498" s="409"/>
      <c r="AC498" s="409"/>
      <c r="AD498" s="409"/>
      <c r="AE498" s="409"/>
      <c r="AF498" s="414"/>
      <c r="AG498" s="414"/>
      <c r="AH498" s="414"/>
      <c r="AI498" s="414"/>
      <c r="AJ498" s="414"/>
      <c r="AK498" s="414"/>
      <c r="AL498" s="414"/>
      <c r="AM498" s="296">
        <f>SUM(Y498:AL498)</f>
        <v>1</v>
      </c>
    </row>
    <row r="499" spans="1:39">
      <c r="A499" s="527"/>
      <c r="B499" s="428"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0">
        <f>Y498</f>
        <v>0</v>
      </c>
      <c r="Z499" s="410">
        <f t="shared" ref="Z499" si="1401">Z498</f>
        <v>1</v>
      </c>
      <c r="AA499" s="410">
        <f t="shared" ref="AA499" si="1402">AA498</f>
        <v>0</v>
      </c>
      <c r="AB499" s="410">
        <f t="shared" ref="AB499" si="1403">AB498</f>
        <v>0</v>
      </c>
      <c r="AC499" s="410">
        <f t="shared" ref="AC499" si="1404">AC498</f>
        <v>0</v>
      </c>
      <c r="AD499" s="410">
        <f t="shared" ref="AD499" si="1405">AD498</f>
        <v>0</v>
      </c>
      <c r="AE499" s="410">
        <f t="shared" ref="AE499" si="1406">AE498</f>
        <v>0</v>
      </c>
      <c r="AF499" s="410">
        <f t="shared" ref="AF499" si="1407">AF498</f>
        <v>0</v>
      </c>
      <c r="AG499" s="410">
        <f t="shared" ref="AG499" si="1408">AG498</f>
        <v>0</v>
      </c>
      <c r="AH499" s="410">
        <f t="shared" ref="AH499" si="1409">AH498</f>
        <v>0</v>
      </c>
      <c r="AI499" s="410">
        <f t="shared" ref="AI499" si="1410">AI498</f>
        <v>0</v>
      </c>
      <c r="AJ499" s="410">
        <f t="shared" ref="AJ499" si="1411">AJ498</f>
        <v>0</v>
      </c>
      <c r="AK499" s="410">
        <f t="shared" ref="AK499" si="1412">AK498</f>
        <v>0</v>
      </c>
      <c r="AL499" s="410">
        <f t="shared" ref="AL499" si="1413">AL498</f>
        <v>0</v>
      </c>
      <c r="AM499" s="306"/>
    </row>
    <row r="500" spans="1:39">
      <c r="A500" s="527"/>
      <c r="B500" s="428"/>
      <c r="C500" s="291"/>
      <c r="D500" s="758"/>
      <c r="E500" s="758"/>
      <c r="F500" s="758"/>
      <c r="G500" s="758"/>
      <c r="H500" s="758"/>
      <c r="I500" s="758"/>
      <c r="J500" s="758"/>
      <c r="K500" s="758"/>
      <c r="L500" s="758"/>
      <c r="M500" s="758"/>
      <c r="N500" s="758"/>
      <c r="O500" s="758"/>
      <c r="P500" s="758"/>
      <c r="Q500" s="758"/>
      <c r="R500" s="758"/>
      <c r="S500" s="758"/>
      <c r="T500" s="758"/>
      <c r="U500" s="758"/>
      <c r="V500" s="758"/>
      <c r="W500" s="758"/>
      <c r="X500" s="758"/>
      <c r="Y500" s="411"/>
      <c r="Z500" s="422"/>
      <c r="AA500" s="422"/>
      <c r="AB500" s="422"/>
      <c r="AC500" s="422"/>
      <c r="AD500" s="422"/>
      <c r="AE500" s="422"/>
      <c r="AF500" s="422"/>
      <c r="AG500" s="422"/>
      <c r="AH500" s="422"/>
      <c r="AI500" s="422"/>
      <c r="AJ500" s="422"/>
      <c r="AK500" s="422"/>
      <c r="AL500" s="422"/>
      <c r="AM500" s="306"/>
    </row>
    <row r="501" spans="1:39" ht="45">
      <c r="A501" s="527">
        <v>28</v>
      </c>
      <c r="B501" s="425" t="s">
        <v>120</v>
      </c>
      <c r="C501" s="291" t="s">
        <v>25</v>
      </c>
      <c r="D501" s="295">
        <f>+'7.  Persistence Report'!AW204</f>
        <v>86200</v>
      </c>
      <c r="E501" s="295">
        <f>+'7.  Persistence Report'!AX204</f>
        <v>86200</v>
      </c>
      <c r="F501" s="295">
        <f>+'7.  Persistence Report'!AY204</f>
        <v>86200</v>
      </c>
      <c r="G501" s="295">
        <f>+'7.  Persistence Report'!AZ204</f>
        <v>86200</v>
      </c>
      <c r="H501" s="295">
        <f>+'7.  Persistence Report'!BA204</f>
        <v>86200</v>
      </c>
      <c r="I501" s="295">
        <f>+'7.  Persistence Report'!BB204</f>
        <v>86200</v>
      </c>
      <c r="J501" s="295">
        <f>+'7.  Persistence Report'!BC204</f>
        <v>86200</v>
      </c>
      <c r="K501" s="295">
        <f>+'7.  Persistence Report'!BD204</f>
        <v>86200</v>
      </c>
      <c r="L501" s="295">
        <f>+'7.  Persistence Report'!BE204</f>
        <v>86200</v>
      </c>
      <c r="M501" s="295">
        <f>+'7.  Persistence Report'!BF204</f>
        <v>86200</v>
      </c>
      <c r="N501" s="295">
        <v>12</v>
      </c>
      <c r="O501" s="295">
        <f>+'7.  Persistence Report'!R204</f>
        <v>25</v>
      </c>
      <c r="P501" s="295">
        <f>+'7.  Persistence Report'!S204</f>
        <v>25</v>
      </c>
      <c r="Q501" s="295">
        <f>+'7.  Persistence Report'!T204</f>
        <v>25</v>
      </c>
      <c r="R501" s="295">
        <f>+'7.  Persistence Report'!U204</f>
        <v>25</v>
      </c>
      <c r="S501" s="295">
        <f>+'7.  Persistence Report'!V204</f>
        <v>25</v>
      </c>
      <c r="T501" s="295">
        <f>+'7.  Persistence Report'!W204</f>
        <v>25</v>
      </c>
      <c r="U501" s="295">
        <f>+'7.  Persistence Report'!X204</f>
        <v>25</v>
      </c>
      <c r="V501" s="295">
        <f>+'7.  Persistence Report'!Y204</f>
        <v>25</v>
      </c>
      <c r="W501" s="295">
        <f>+'7.  Persistence Report'!Z204</f>
        <v>25</v>
      </c>
      <c r="X501" s="295">
        <f>+'7.  Persistence Report'!AA204</f>
        <v>25</v>
      </c>
      <c r="Y501" s="423"/>
      <c r="Z501" s="924">
        <f>+'3-a.  Rate Class Allocations'!M53</f>
        <v>0.14399999999999999</v>
      </c>
      <c r="AA501" s="924">
        <f>+'3-a.  Rate Class Allocations'!N53</f>
        <v>0.85299999999999998</v>
      </c>
      <c r="AB501" s="409"/>
      <c r="AC501" s="409"/>
      <c r="AD501" s="409"/>
      <c r="AE501" s="409"/>
      <c r="AF501" s="414"/>
      <c r="AG501" s="414"/>
      <c r="AH501" s="414"/>
      <c r="AI501" s="414"/>
      <c r="AJ501" s="414"/>
      <c r="AK501" s="414"/>
      <c r="AL501" s="414"/>
      <c r="AM501" s="296">
        <f>SUM(Y501:AL501)</f>
        <v>0.997</v>
      </c>
    </row>
    <row r="502" spans="1:39">
      <c r="A502" s="527"/>
      <c r="B502" s="428" t="s">
        <v>308</v>
      </c>
      <c r="C502" s="758" t="s">
        <v>163</v>
      </c>
      <c r="D502" s="774">
        <f>+'7.  Persistence Report'!AW213</f>
        <v>4445</v>
      </c>
      <c r="E502" s="774">
        <f>+'7.  Persistence Report'!AX213</f>
        <v>4445</v>
      </c>
      <c r="F502" s="774">
        <f>+'7.  Persistence Report'!AY213</f>
        <v>4400.55</v>
      </c>
      <c r="G502" s="774">
        <f>+'7.  Persistence Report'!AZ213</f>
        <v>4400.55</v>
      </c>
      <c r="H502" s="295"/>
      <c r="I502" s="295"/>
      <c r="J502" s="295"/>
      <c r="K502" s="295"/>
      <c r="L502" s="295"/>
      <c r="M502" s="295"/>
      <c r="N502" s="295">
        <f>N501</f>
        <v>12</v>
      </c>
      <c r="O502" s="919"/>
      <c r="P502" s="919"/>
      <c r="Q502" s="919"/>
      <c r="R502" s="919"/>
      <c r="S502" s="295"/>
      <c r="T502" s="295"/>
      <c r="U502" s="295"/>
      <c r="V502" s="295"/>
      <c r="W502" s="295"/>
      <c r="X502" s="295"/>
      <c r="Y502" s="410">
        <f>Y501</f>
        <v>0</v>
      </c>
      <c r="Z502" s="410">
        <f t="shared" ref="Z502" si="1414">Z501</f>
        <v>0.14399999999999999</v>
      </c>
      <c r="AA502" s="410">
        <f t="shared" ref="AA502" si="1415">AA501</f>
        <v>0.85299999999999998</v>
      </c>
      <c r="AB502" s="410">
        <f t="shared" ref="AB502" si="1416">AB501</f>
        <v>0</v>
      </c>
      <c r="AC502" s="410">
        <f t="shared" ref="AC502" si="1417">AC501</f>
        <v>0</v>
      </c>
      <c r="AD502" s="410">
        <f t="shared" ref="AD502" si="1418">AD501</f>
        <v>0</v>
      </c>
      <c r="AE502" s="410">
        <f t="shared" ref="AE502" si="1419">AE501</f>
        <v>0</v>
      </c>
      <c r="AF502" s="410">
        <f t="shared" ref="AF502" si="1420">AF501</f>
        <v>0</v>
      </c>
      <c r="AG502" s="410">
        <f t="shared" ref="AG502" si="1421">AG501</f>
        <v>0</v>
      </c>
      <c r="AH502" s="410">
        <f t="shared" ref="AH502" si="1422">AH501</f>
        <v>0</v>
      </c>
      <c r="AI502" s="410">
        <f t="shared" ref="AI502" si="1423">AI501</f>
        <v>0</v>
      </c>
      <c r="AJ502" s="410">
        <f t="shared" ref="AJ502" si="1424">AJ501</f>
        <v>0</v>
      </c>
      <c r="AK502" s="410">
        <f t="shared" ref="AK502" si="1425">AK501</f>
        <v>0</v>
      </c>
      <c r="AL502" s="410">
        <f t="shared" ref="AL502" si="1426">AL501</f>
        <v>0</v>
      </c>
      <c r="AM502" s="306"/>
    </row>
    <row r="503" spans="1:39">
      <c r="A503" s="527"/>
      <c r="B503" s="428"/>
      <c r="C503" s="291"/>
      <c r="D503" s="758"/>
      <c r="E503" s="758"/>
      <c r="F503" s="758"/>
      <c r="G503" s="758"/>
      <c r="H503" s="758"/>
      <c r="I503" s="758"/>
      <c r="J503" s="758"/>
      <c r="K503" s="758"/>
      <c r="L503" s="758"/>
      <c r="M503" s="758"/>
      <c r="N503" s="758"/>
      <c r="O503" s="758"/>
      <c r="P503" s="758"/>
      <c r="Q503" s="758"/>
      <c r="R503" s="758"/>
      <c r="S503" s="758"/>
      <c r="T503" s="758"/>
      <c r="U503" s="758"/>
      <c r="V503" s="758"/>
      <c r="W503" s="758"/>
      <c r="X503" s="758"/>
      <c r="Y503" s="411"/>
      <c r="Z503" s="422"/>
      <c r="AA503" s="422"/>
      <c r="AB503" s="422"/>
      <c r="AC503" s="422"/>
      <c r="AD503" s="422"/>
      <c r="AE503" s="422"/>
      <c r="AF503" s="422"/>
      <c r="AG503" s="422"/>
      <c r="AH503" s="422"/>
      <c r="AI503" s="422"/>
      <c r="AJ503" s="422"/>
      <c r="AK503" s="422"/>
      <c r="AL503" s="422"/>
      <c r="AM503" s="306"/>
    </row>
    <row r="504" spans="1:39" ht="45">
      <c r="A504" s="527">
        <v>29</v>
      </c>
      <c r="B504" s="425" t="s">
        <v>121</v>
      </c>
      <c r="C504" s="291" t="s">
        <v>25</v>
      </c>
      <c r="D504" s="295"/>
      <c r="E504" s="295"/>
      <c r="F504" s="295"/>
      <c r="G504" s="295"/>
      <c r="H504" s="295"/>
      <c r="I504" s="295"/>
      <c r="J504" s="295"/>
      <c r="K504" s="295"/>
      <c r="L504" s="295"/>
      <c r="M504" s="295"/>
      <c r="N504" s="295">
        <v>3</v>
      </c>
      <c r="O504" s="295"/>
      <c r="P504" s="295"/>
      <c r="Q504" s="295"/>
      <c r="R504" s="295"/>
      <c r="S504" s="295"/>
      <c r="T504" s="295"/>
      <c r="U504" s="295"/>
      <c r="V504" s="295"/>
      <c r="W504" s="295"/>
      <c r="X504" s="295"/>
      <c r="Y504" s="423"/>
      <c r="Z504" s="409"/>
      <c r="AA504" s="409"/>
      <c r="AB504" s="409"/>
      <c r="AC504" s="409"/>
      <c r="AD504" s="409"/>
      <c r="AE504" s="409"/>
      <c r="AF504" s="414"/>
      <c r="AG504" s="414"/>
      <c r="AH504" s="414"/>
      <c r="AI504" s="414"/>
      <c r="AJ504" s="414"/>
      <c r="AK504" s="414"/>
      <c r="AL504" s="414"/>
      <c r="AM504" s="296">
        <f>SUM(Y504:AL504)</f>
        <v>0</v>
      </c>
    </row>
    <row r="505" spans="1:39">
      <c r="A505" s="527"/>
      <c r="B505" s="428" t="s">
        <v>308</v>
      </c>
      <c r="C505" s="291" t="s">
        <v>163</v>
      </c>
      <c r="D505" s="774"/>
      <c r="E505" s="774"/>
      <c r="F505" s="774"/>
      <c r="G505" s="774"/>
      <c r="H505" s="295"/>
      <c r="I505" s="295"/>
      <c r="J505" s="295"/>
      <c r="K505" s="295"/>
      <c r="L505" s="295"/>
      <c r="M505" s="295"/>
      <c r="N505" s="295">
        <f>N504</f>
        <v>3</v>
      </c>
      <c r="O505" s="295"/>
      <c r="P505" s="295"/>
      <c r="Q505" s="295"/>
      <c r="R505" s="295"/>
      <c r="S505" s="295"/>
      <c r="T505" s="295"/>
      <c r="U505" s="295"/>
      <c r="V505" s="295"/>
      <c r="W505" s="295"/>
      <c r="X505" s="295"/>
      <c r="Y505" s="410">
        <f>Y504</f>
        <v>0</v>
      </c>
      <c r="Z505" s="410">
        <f t="shared" ref="Z505" si="1427">Z504</f>
        <v>0</v>
      </c>
      <c r="AA505" s="410">
        <f t="shared" ref="AA505" si="1428">AA504</f>
        <v>0</v>
      </c>
      <c r="AB505" s="410">
        <f t="shared" ref="AB505" si="1429">AB504</f>
        <v>0</v>
      </c>
      <c r="AC505" s="410">
        <f t="shared" ref="AC505" si="1430">AC504</f>
        <v>0</v>
      </c>
      <c r="AD505" s="410">
        <f t="shared" ref="AD505" si="1431">AD504</f>
        <v>0</v>
      </c>
      <c r="AE505" s="410">
        <f t="shared" ref="AE505" si="1432">AE504</f>
        <v>0</v>
      </c>
      <c r="AF505" s="410">
        <f t="shared" ref="AF505" si="1433">AF504</f>
        <v>0</v>
      </c>
      <c r="AG505" s="410">
        <f t="shared" ref="AG505" si="1434">AG504</f>
        <v>0</v>
      </c>
      <c r="AH505" s="410">
        <f t="shared" ref="AH505" si="1435">AH504</f>
        <v>0</v>
      </c>
      <c r="AI505" s="410">
        <f t="shared" ref="AI505" si="1436">AI504</f>
        <v>0</v>
      </c>
      <c r="AJ505" s="410">
        <f t="shared" ref="AJ505" si="1437">AJ504</f>
        <v>0</v>
      </c>
      <c r="AK505" s="410">
        <f t="shared" ref="AK505" si="1438">AK504</f>
        <v>0</v>
      </c>
      <c r="AL505" s="410">
        <f t="shared" ref="AL505" si="1439">AL504</f>
        <v>0</v>
      </c>
      <c r="AM505" s="306"/>
    </row>
    <row r="506" spans="1:39">
      <c r="A506" s="527"/>
      <c r="B506" s="428"/>
      <c r="C506" s="291"/>
      <c r="D506" s="758"/>
      <c r="E506" s="758"/>
      <c r="F506" s="758"/>
      <c r="G506" s="758"/>
      <c r="H506" s="758"/>
      <c r="I506" s="758"/>
      <c r="J506" s="758"/>
      <c r="K506" s="758"/>
      <c r="L506" s="758"/>
      <c r="M506" s="758"/>
      <c r="N506" s="758"/>
      <c r="O506" s="758"/>
      <c r="P506" s="758"/>
      <c r="Q506" s="758"/>
      <c r="R506" s="758"/>
      <c r="S506" s="758"/>
      <c r="T506" s="758"/>
      <c r="U506" s="758"/>
      <c r="V506" s="758"/>
      <c r="W506" s="758"/>
      <c r="X506" s="758"/>
      <c r="Y506" s="411"/>
      <c r="Z506" s="422"/>
      <c r="AA506" s="422"/>
      <c r="AB506" s="422"/>
      <c r="AC506" s="422"/>
      <c r="AD506" s="422"/>
      <c r="AE506" s="422"/>
      <c r="AF506" s="422"/>
      <c r="AG506" s="422"/>
      <c r="AH506" s="422"/>
      <c r="AI506" s="422"/>
      <c r="AJ506" s="422"/>
      <c r="AK506" s="422"/>
      <c r="AL506" s="422"/>
      <c r="AM506" s="306"/>
    </row>
    <row r="507" spans="1:39" ht="30">
      <c r="A507" s="527">
        <v>30</v>
      </c>
      <c r="B507" s="425" t="s">
        <v>122</v>
      </c>
      <c r="C507" s="291" t="s">
        <v>25</v>
      </c>
      <c r="D507" s="295">
        <f>+'7.  Persistence Report'!AW205</f>
        <v>2835485</v>
      </c>
      <c r="E507" s="295">
        <f>+'7.  Persistence Report'!AX205</f>
        <v>2835485</v>
      </c>
      <c r="F507" s="295">
        <f>+'7.  Persistence Report'!AY205</f>
        <v>2835485</v>
      </c>
      <c r="G507" s="295">
        <f>+'7.  Persistence Report'!AZ205</f>
        <v>2835485</v>
      </c>
      <c r="H507" s="295">
        <f>+'7.  Persistence Report'!BA205</f>
        <v>2835485</v>
      </c>
      <c r="I507" s="295">
        <f>+'7.  Persistence Report'!BB205</f>
        <v>2835485</v>
      </c>
      <c r="J507" s="295">
        <f>+'7.  Persistence Report'!BC205</f>
        <v>2835485</v>
      </c>
      <c r="K507" s="295">
        <f>+'7.  Persistence Report'!BD205</f>
        <v>2835485</v>
      </c>
      <c r="L507" s="295">
        <f>+'7.  Persistence Report'!BE205</f>
        <v>2835485</v>
      </c>
      <c r="M507" s="295">
        <f>+'7.  Persistence Report'!BF205</f>
        <v>2835485</v>
      </c>
      <c r="N507" s="295">
        <v>12</v>
      </c>
      <c r="O507" s="295">
        <f>+'7.  Persistence Report'!R205</f>
        <v>336</v>
      </c>
      <c r="P507" s="295">
        <f>+'7.  Persistence Report'!S205</f>
        <v>336</v>
      </c>
      <c r="Q507" s="295">
        <f>+'7.  Persistence Report'!T205</f>
        <v>336</v>
      </c>
      <c r="R507" s="295">
        <f>+'7.  Persistence Report'!U205</f>
        <v>336</v>
      </c>
      <c r="S507" s="295">
        <f>+'7.  Persistence Report'!V205</f>
        <v>336</v>
      </c>
      <c r="T507" s="295">
        <f>+'7.  Persistence Report'!W205</f>
        <v>336</v>
      </c>
      <c r="U507" s="295">
        <f>+'7.  Persistence Report'!X205</f>
        <v>336</v>
      </c>
      <c r="V507" s="295">
        <f>+'7.  Persistence Report'!Y205</f>
        <v>336</v>
      </c>
      <c r="W507" s="295">
        <f>+'7.  Persistence Report'!Z205</f>
        <v>336</v>
      </c>
      <c r="X507" s="295">
        <f>+'7.  Persistence Report'!AA205</f>
        <v>336</v>
      </c>
      <c r="Y507" s="423"/>
      <c r="Z507" s="409"/>
      <c r="AA507" s="772">
        <v>1</v>
      </c>
      <c r="AB507" s="409"/>
      <c r="AC507" s="409"/>
      <c r="AD507" s="409"/>
      <c r="AE507" s="409"/>
      <c r="AF507" s="414"/>
      <c r="AG507" s="414"/>
      <c r="AH507" s="414"/>
      <c r="AI507" s="414"/>
      <c r="AJ507" s="414"/>
      <c r="AK507" s="414"/>
      <c r="AL507" s="414"/>
      <c r="AM507" s="296">
        <f>SUM(Y507:AL507)</f>
        <v>1</v>
      </c>
    </row>
    <row r="508" spans="1:39">
      <c r="A508" s="527"/>
      <c r="B508" s="428" t="s">
        <v>308</v>
      </c>
      <c r="C508" s="758" t="s">
        <v>163</v>
      </c>
      <c r="D508" s="774">
        <f>+'7.  Persistence Report'!AW214</f>
        <v>1134177</v>
      </c>
      <c r="E508" s="774">
        <f>+'7.  Persistence Report'!AX214</f>
        <v>1134177</v>
      </c>
      <c r="F508" s="774">
        <f>+'7.  Persistence Report'!AY214</f>
        <v>1134177</v>
      </c>
      <c r="G508" s="774">
        <f>+'7.  Persistence Report'!AZ214</f>
        <v>1134177</v>
      </c>
      <c r="H508" s="295"/>
      <c r="I508" s="295"/>
      <c r="J508" s="295"/>
      <c r="K508" s="295"/>
      <c r="L508" s="295"/>
      <c r="M508" s="295"/>
      <c r="N508" s="295">
        <f>N507</f>
        <v>12</v>
      </c>
      <c r="O508" s="919"/>
      <c r="P508" s="919"/>
      <c r="Q508" s="919"/>
      <c r="R508" s="919"/>
      <c r="S508" s="295"/>
      <c r="T508" s="295"/>
      <c r="U508" s="295"/>
      <c r="V508" s="295"/>
      <c r="W508" s="295"/>
      <c r="X508" s="295"/>
      <c r="Y508" s="410">
        <f>Y507</f>
        <v>0</v>
      </c>
      <c r="Z508" s="410">
        <f t="shared" ref="Z508" si="1440">Z507</f>
        <v>0</v>
      </c>
      <c r="AA508" s="410">
        <f t="shared" ref="AA508" si="1441">AA507</f>
        <v>1</v>
      </c>
      <c r="AB508" s="410">
        <f t="shared" ref="AB508" si="1442">AB507</f>
        <v>0</v>
      </c>
      <c r="AC508" s="410">
        <f t="shared" ref="AC508" si="1443">AC507</f>
        <v>0</v>
      </c>
      <c r="AD508" s="410">
        <f t="shared" ref="AD508" si="1444">AD507</f>
        <v>0</v>
      </c>
      <c r="AE508" s="410">
        <f t="shared" ref="AE508" si="1445">AE507</f>
        <v>0</v>
      </c>
      <c r="AF508" s="410">
        <f t="shared" ref="AF508" si="1446">AF507</f>
        <v>0</v>
      </c>
      <c r="AG508" s="410">
        <f t="shared" ref="AG508" si="1447">AG507</f>
        <v>0</v>
      </c>
      <c r="AH508" s="410">
        <f t="shared" ref="AH508" si="1448">AH507</f>
        <v>0</v>
      </c>
      <c r="AI508" s="410">
        <f t="shared" ref="AI508" si="1449">AI507</f>
        <v>0</v>
      </c>
      <c r="AJ508" s="410">
        <f t="shared" ref="AJ508" si="1450">AJ507</f>
        <v>0</v>
      </c>
      <c r="AK508" s="410">
        <f t="shared" ref="AK508" si="1451">AK507</f>
        <v>0</v>
      </c>
      <c r="AL508" s="410">
        <f t="shared" ref="AL508" si="1452">AL507</f>
        <v>0</v>
      </c>
      <c r="AM508" s="306"/>
    </row>
    <row r="509" spans="1:39">
      <c r="A509" s="527"/>
      <c r="B509" s="428"/>
      <c r="C509" s="291"/>
      <c r="D509" s="758"/>
      <c r="E509" s="758"/>
      <c r="F509" s="758"/>
      <c r="G509" s="758"/>
      <c r="H509" s="758"/>
      <c r="I509" s="758"/>
      <c r="J509" s="758"/>
      <c r="K509" s="758"/>
      <c r="L509" s="758"/>
      <c r="M509" s="758"/>
      <c r="N509" s="758"/>
      <c r="O509" s="758"/>
      <c r="P509" s="758"/>
      <c r="Q509" s="758"/>
      <c r="R509" s="758"/>
      <c r="S509" s="758"/>
      <c r="T509" s="758"/>
      <c r="U509" s="758"/>
      <c r="V509" s="758"/>
      <c r="W509" s="758"/>
      <c r="X509" s="758"/>
      <c r="Y509" s="411"/>
      <c r="Z509" s="422"/>
      <c r="AA509" s="422"/>
      <c r="AB509" s="422"/>
      <c r="AC509" s="422"/>
      <c r="AD509" s="422"/>
      <c r="AE509" s="422"/>
      <c r="AF509" s="422"/>
      <c r="AG509" s="422"/>
      <c r="AH509" s="422"/>
      <c r="AI509" s="422"/>
      <c r="AJ509" s="422"/>
      <c r="AK509" s="422"/>
      <c r="AL509" s="422"/>
      <c r="AM509" s="306"/>
    </row>
    <row r="510" spans="1:39" ht="30">
      <c r="A510" s="527">
        <v>31</v>
      </c>
      <c r="B510" s="425" t="s">
        <v>123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23"/>
      <c r="Z510" s="409"/>
      <c r="AA510" s="409"/>
      <c r="AB510" s="409"/>
      <c r="AC510" s="409"/>
      <c r="AD510" s="409"/>
      <c r="AE510" s="409"/>
      <c r="AF510" s="414"/>
      <c r="AG510" s="414"/>
      <c r="AH510" s="414"/>
      <c r="AI510" s="414"/>
      <c r="AJ510" s="414"/>
      <c r="AK510" s="414"/>
      <c r="AL510" s="414"/>
      <c r="AM510" s="296">
        <f>SUM(Y510:AL510)</f>
        <v>0</v>
      </c>
    </row>
    <row r="511" spans="1:39">
      <c r="A511" s="527"/>
      <c r="B511" s="428"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0">
        <f>Y510</f>
        <v>0</v>
      </c>
      <c r="Z511" s="410">
        <f t="shared" ref="Z511" si="1453">Z510</f>
        <v>0</v>
      </c>
      <c r="AA511" s="410">
        <f t="shared" ref="AA511" si="1454">AA510</f>
        <v>0</v>
      </c>
      <c r="AB511" s="410">
        <f t="shared" ref="AB511" si="1455">AB510</f>
        <v>0</v>
      </c>
      <c r="AC511" s="410">
        <f t="shared" ref="AC511" si="1456">AC510</f>
        <v>0</v>
      </c>
      <c r="AD511" s="410">
        <f t="shared" ref="AD511" si="1457">AD510</f>
        <v>0</v>
      </c>
      <c r="AE511" s="410">
        <f t="shared" ref="AE511" si="1458">AE510</f>
        <v>0</v>
      </c>
      <c r="AF511" s="410">
        <f t="shared" ref="AF511" si="1459">AF510</f>
        <v>0</v>
      </c>
      <c r="AG511" s="410">
        <f t="shared" ref="AG511" si="1460">AG510</f>
        <v>0</v>
      </c>
      <c r="AH511" s="410">
        <f t="shared" ref="AH511" si="1461">AH510</f>
        <v>0</v>
      </c>
      <c r="AI511" s="410">
        <f t="shared" ref="AI511" si="1462">AI510</f>
        <v>0</v>
      </c>
      <c r="AJ511" s="410">
        <f t="shared" ref="AJ511" si="1463">AJ510</f>
        <v>0</v>
      </c>
      <c r="AK511" s="410">
        <f t="shared" ref="AK511" si="1464">AK510</f>
        <v>0</v>
      </c>
      <c r="AL511" s="410">
        <f t="shared" ref="AL511" si="1465">AL510</f>
        <v>0</v>
      </c>
      <c r="AM511" s="306"/>
    </row>
    <row r="512" spans="1:39">
      <c r="A512" s="527"/>
      <c r="B512" s="425"/>
      <c r="C512" s="291"/>
      <c r="D512" s="758"/>
      <c r="E512" s="758"/>
      <c r="F512" s="758"/>
      <c r="G512" s="758"/>
      <c r="H512" s="758"/>
      <c r="I512" s="758"/>
      <c r="J512" s="758"/>
      <c r="K512" s="758"/>
      <c r="L512" s="758"/>
      <c r="M512" s="758"/>
      <c r="N512" s="758"/>
      <c r="O512" s="758"/>
      <c r="P512" s="758"/>
      <c r="Q512" s="758"/>
      <c r="R512" s="758"/>
      <c r="S512" s="758"/>
      <c r="T512" s="758"/>
      <c r="U512" s="758"/>
      <c r="V512" s="758"/>
      <c r="W512" s="758"/>
      <c r="X512" s="758"/>
      <c r="Y512" s="411"/>
      <c r="Z512" s="422"/>
      <c r="AA512" s="422"/>
      <c r="AB512" s="422"/>
      <c r="AC512" s="422"/>
      <c r="AD512" s="422"/>
      <c r="AE512" s="422"/>
      <c r="AF512" s="422"/>
      <c r="AG512" s="422"/>
      <c r="AH512" s="422"/>
      <c r="AI512" s="422"/>
      <c r="AJ512" s="422"/>
      <c r="AK512" s="422"/>
      <c r="AL512" s="422"/>
      <c r="AM512" s="306"/>
    </row>
    <row r="513" spans="1:39" ht="33" customHeight="1">
      <c r="A513" s="527">
        <v>32</v>
      </c>
      <c r="B513" s="425" t="s">
        <v>124</v>
      </c>
      <c r="C513" s="291" t="s">
        <v>25</v>
      </c>
      <c r="D513" s="295">
        <f>+'7.  Persistence Report'!AW206</f>
        <v>653</v>
      </c>
      <c r="E513" s="919">
        <f>+'7.  Persistence Report'!AX206</f>
        <v>653</v>
      </c>
      <c r="F513" s="919">
        <f>+'7.  Persistence Report'!AY206</f>
        <v>653</v>
      </c>
      <c r="G513" s="919">
        <f>+'7.  Persistence Report'!AZ206</f>
        <v>0</v>
      </c>
      <c r="H513" s="919">
        <f>+'7.  Persistence Report'!BA206</f>
        <v>0</v>
      </c>
      <c r="I513" s="919">
        <f>+'7.  Persistence Report'!BB206</f>
        <v>0</v>
      </c>
      <c r="J513" s="919">
        <f>+'7.  Persistence Report'!BC206</f>
        <v>0</v>
      </c>
      <c r="K513" s="919">
        <f>+'7.  Persistence Report'!BD206</f>
        <v>0</v>
      </c>
      <c r="L513" s="919">
        <f>+'7.  Persistence Report'!BE206</f>
        <v>0</v>
      </c>
      <c r="M513" s="919">
        <f>+'7.  Persistence Report'!BF206</f>
        <v>0</v>
      </c>
      <c r="N513" s="295">
        <v>12</v>
      </c>
      <c r="O513" s="295"/>
      <c r="P513" s="295"/>
      <c r="Q513" s="295"/>
      <c r="R513" s="295"/>
      <c r="S513" s="295"/>
      <c r="T513" s="295"/>
      <c r="U513" s="295"/>
      <c r="V513" s="295"/>
      <c r="W513" s="295"/>
      <c r="X513" s="295"/>
      <c r="Y513" s="423"/>
      <c r="Z513" s="409"/>
      <c r="AA513" s="772">
        <v>1</v>
      </c>
      <c r="AB513" s="409"/>
      <c r="AC513" s="409"/>
      <c r="AD513" s="409"/>
      <c r="AE513" s="409"/>
      <c r="AF513" s="414"/>
      <c r="AG513" s="414"/>
      <c r="AH513" s="414"/>
      <c r="AI513" s="414"/>
      <c r="AJ513" s="414"/>
      <c r="AK513" s="414"/>
      <c r="AL513" s="414"/>
      <c r="AM513" s="296">
        <f>SUM(Y513:AL513)</f>
        <v>1</v>
      </c>
    </row>
    <row r="514" spans="1:39">
      <c r="A514" s="527"/>
      <c r="B514" s="428" t="s">
        <v>308</v>
      </c>
      <c r="C514" s="291" t="s">
        <v>163</v>
      </c>
      <c r="D514" s="295"/>
      <c r="E514" s="295"/>
      <c r="F514" s="295"/>
      <c r="G514" s="295"/>
      <c r="H514" s="295"/>
      <c r="I514" s="295"/>
      <c r="J514" s="295"/>
      <c r="K514" s="295"/>
      <c r="L514" s="295"/>
      <c r="M514" s="295"/>
      <c r="N514" s="295">
        <f>N513</f>
        <v>12</v>
      </c>
      <c r="O514" s="295"/>
      <c r="P514" s="295"/>
      <c r="Q514" s="295"/>
      <c r="R514" s="295"/>
      <c r="S514" s="295"/>
      <c r="T514" s="295"/>
      <c r="U514" s="295"/>
      <c r="V514" s="295"/>
      <c r="W514" s="295"/>
      <c r="X514" s="295"/>
      <c r="Y514" s="410">
        <f>Y513</f>
        <v>0</v>
      </c>
      <c r="Z514" s="410">
        <f t="shared" ref="Z514" si="1466">Z513</f>
        <v>0</v>
      </c>
      <c r="AA514" s="410">
        <f t="shared" ref="AA514" si="1467">AA513</f>
        <v>1</v>
      </c>
      <c r="AB514" s="410">
        <f t="shared" ref="AB514" si="1468">AB513</f>
        <v>0</v>
      </c>
      <c r="AC514" s="410">
        <f t="shared" ref="AC514" si="1469">AC513</f>
        <v>0</v>
      </c>
      <c r="AD514" s="410">
        <f t="shared" ref="AD514" si="1470">AD513</f>
        <v>0</v>
      </c>
      <c r="AE514" s="410">
        <f t="shared" ref="AE514" si="1471">AE513</f>
        <v>0</v>
      </c>
      <c r="AF514" s="410">
        <f t="shared" ref="AF514" si="1472">AF513</f>
        <v>0</v>
      </c>
      <c r="AG514" s="410">
        <f t="shared" ref="AG514" si="1473">AG513</f>
        <v>0</v>
      </c>
      <c r="AH514" s="410">
        <f t="shared" ref="AH514" si="1474">AH513</f>
        <v>0</v>
      </c>
      <c r="AI514" s="410">
        <f t="shared" ref="AI514" si="1475">AI513</f>
        <v>0</v>
      </c>
      <c r="AJ514" s="410">
        <f t="shared" ref="AJ514" si="1476">AJ513</f>
        <v>0</v>
      </c>
      <c r="AK514" s="410">
        <f t="shared" ref="AK514" si="1477">AK513</f>
        <v>0</v>
      </c>
      <c r="AL514" s="410">
        <f t="shared" ref="AL514" si="1478">AL513</f>
        <v>0</v>
      </c>
      <c r="AM514" s="306"/>
    </row>
    <row r="515" spans="1:39">
      <c r="A515" s="527"/>
      <c r="B515" s="425"/>
      <c r="C515" s="291"/>
      <c r="D515" s="758"/>
      <c r="E515" s="758"/>
      <c r="F515" s="758"/>
      <c r="G515" s="758"/>
      <c r="H515" s="758"/>
      <c r="I515" s="758"/>
      <c r="J515" s="758"/>
      <c r="K515" s="758"/>
      <c r="L515" s="758"/>
      <c r="M515" s="758"/>
      <c r="N515" s="758"/>
      <c r="O515" s="758"/>
      <c r="P515" s="758"/>
      <c r="Q515" s="758"/>
      <c r="R515" s="758"/>
      <c r="S515" s="758"/>
      <c r="T515" s="758"/>
      <c r="U515" s="758"/>
      <c r="V515" s="758"/>
      <c r="W515" s="758"/>
      <c r="X515" s="758"/>
      <c r="Y515" s="411"/>
      <c r="Z515" s="422"/>
      <c r="AA515" s="422"/>
      <c r="AB515" s="422"/>
      <c r="AC515" s="422"/>
      <c r="AD515" s="422"/>
      <c r="AE515" s="422"/>
      <c r="AF515" s="422"/>
      <c r="AG515" s="422"/>
      <c r="AH515" s="422"/>
      <c r="AI515" s="422"/>
      <c r="AJ515" s="422"/>
      <c r="AK515" s="422"/>
      <c r="AL515" s="422"/>
      <c r="AM515" s="306"/>
    </row>
    <row r="516" spans="1:39" ht="15.75">
      <c r="A516" s="527"/>
      <c r="B516" s="499" t="s">
        <v>501</v>
      </c>
      <c r="C516" s="291"/>
      <c r="D516" s="758"/>
      <c r="E516" s="758"/>
      <c r="F516" s="758"/>
      <c r="G516" s="758"/>
      <c r="H516" s="758"/>
      <c r="I516" s="758"/>
      <c r="J516" s="758"/>
      <c r="K516" s="758"/>
      <c r="L516" s="758"/>
      <c r="M516" s="758"/>
      <c r="N516" s="758"/>
      <c r="O516" s="758"/>
      <c r="P516" s="758"/>
      <c r="Q516" s="758"/>
      <c r="R516" s="758"/>
      <c r="S516" s="758"/>
      <c r="T516" s="758"/>
      <c r="U516" s="758"/>
      <c r="V516" s="758"/>
      <c r="W516" s="758"/>
      <c r="X516" s="758"/>
      <c r="Y516" s="411"/>
      <c r="Z516" s="422"/>
      <c r="AA516" s="422"/>
      <c r="AB516" s="422"/>
      <c r="AC516" s="422"/>
      <c r="AD516" s="422"/>
      <c r="AE516" s="422"/>
      <c r="AF516" s="422"/>
      <c r="AG516" s="422"/>
      <c r="AH516" s="422"/>
      <c r="AI516" s="422"/>
      <c r="AJ516" s="422"/>
      <c r="AK516" s="422"/>
      <c r="AL516" s="422"/>
      <c r="AM516" s="306"/>
    </row>
    <row r="517" spans="1:39" ht="30">
      <c r="A517" s="527">
        <v>33</v>
      </c>
      <c r="B517" s="425" t="s">
        <v>125</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423"/>
      <c r="Z517" s="409"/>
      <c r="AA517" s="409"/>
      <c r="AB517" s="409"/>
      <c r="AC517" s="409"/>
      <c r="AD517" s="409"/>
      <c r="AE517" s="409"/>
      <c r="AF517" s="414"/>
      <c r="AG517" s="414"/>
      <c r="AH517" s="414"/>
      <c r="AI517" s="414"/>
      <c r="AJ517" s="414"/>
      <c r="AK517" s="414"/>
      <c r="AL517" s="414"/>
      <c r="AM517" s="296">
        <f>SUM(Y517:AL517)</f>
        <v>0</v>
      </c>
    </row>
    <row r="518" spans="1:39">
      <c r="A518" s="527"/>
      <c r="B518" s="428" t="s">
        <v>308</v>
      </c>
      <c r="C518" s="291" t="s">
        <v>163</v>
      </c>
      <c r="D518" s="295"/>
      <c r="E518" s="295"/>
      <c r="F518" s="295"/>
      <c r="G518" s="295"/>
      <c r="H518" s="295"/>
      <c r="I518" s="295"/>
      <c r="J518" s="295"/>
      <c r="K518" s="295"/>
      <c r="L518" s="295"/>
      <c r="M518" s="295"/>
      <c r="N518" s="295">
        <f>N517</f>
        <v>0</v>
      </c>
      <c r="O518" s="295"/>
      <c r="P518" s="295"/>
      <c r="Q518" s="295"/>
      <c r="R518" s="295"/>
      <c r="S518" s="295"/>
      <c r="T518" s="295"/>
      <c r="U518" s="295"/>
      <c r="V518" s="295"/>
      <c r="W518" s="295"/>
      <c r="X518" s="295"/>
      <c r="Y518" s="410">
        <f>Y517</f>
        <v>0</v>
      </c>
      <c r="Z518" s="410">
        <f t="shared" ref="Z518" si="1479">Z517</f>
        <v>0</v>
      </c>
      <c r="AA518" s="410">
        <f t="shared" ref="AA518" si="1480">AA517</f>
        <v>0</v>
      </c>
      <c r="AB518" s="410">
        <f t="shared" ref="AB518" si="1481">AB517</f>
        <v>0</v>
      </c>
      <c r="AC518" s="410">
        <f t="shared" ref="AC518" si="1482">AC517</f>
        <v>0</v>
      </c>
      <c r="AD518" s="410">
        <f t="shared" ref="AD518" si="1483">AD517</f>
        <v>0</v>
      </c>
      <c r="AE518" s="410">
        <f t="shared" ref="AE518" si="1484">AE517</f>
        <v>0</v>
      </c>
      <c r="AF518" s="410">
        <f t="shared" ref="AF518" si="1485">AF517</f>
        <v>0</v>
      </c>
      <c r="AG518" s="410">
        <f t="shared" ref="AG518" si="1486">AG517</f>
        <v>0</v>
      </c>
      <c r="AH518" s="410">
        <f t="shared" ref="AH518" si="1487">AH517</f>
        <v>0</v>
      </c>
      <c r="AI518" s="410">
        <f t="shared" ref="AI518" si="1488">AI517</f>
        <v>0</v>
      </c>
      <c r="AJ518" s="410">
        <f t="shared" ref="AJ518" si="1489">AJ517</f>
        <v>0</v>
      </c>
      <c r="AK518" s="410">
        <f t="shared" ref="AK518" si="1490">AK517</f>
        <v>0</v>
      </c>
      <c r="AL518" s="410">
        <f t="shared" ref="AL518" si="1491">AL517</f>
        <v>0</v>
      </c>
      <c r="AM518" s="306"/>
    </row>
    <row r="519" spans="1:39">
      <c r="A519" s="527"/>
      <c r="B519" s="425"/>
      <c r="C519" s="291"/>
      <c r="D519" s="758"/>
      <c r="E519" s="758"/>
      <c r="F519" s="758"/>
      <c r="G519" s="758"/>
      <c r="H519" s="758"/>
      <c r="I519" s="758"/>
      <c r="J519" s="758"/>
      <c r="K519" s="758"/>
      <c r="L519" s="758"/>
      <c r="M519" s="758"/>
      <c r="N519" s="758"/>
      <c r="O519" s="758"/>
      <c r="P519" s="758"/>
      <c r="Q519" s="758"/>
      <c r="R519" s="758"/>
      <c r="S519" s="758"/>
      <c r="T519" s="758"/>
      <c r="U519" s="758"/>
      <c r="V519" s="758"/>
      <c r="W519" s="758"/>
      <c r="X519" s="758"/>
      <c r="Y519" s="411"/>
      <c r="Z519" s="422"/>
      <c r="AA519" s="422"/>
      <c r="AB519" s="422"/>
      <c r="AC519" s="422"/>
      <c r="AD519" s="422"/>
      <c r="AE519" s="422"/>
      <c r="AF519" s="422"/>
      <c r="AG519" s="422"/>
      <c r="AH519" s="422"/>
      <c r="AI519" s="422"/>
      <c r="AJ519" s="422"/>
      <c r="AK519" s="422"/>
      <c r="AL519" s="422"/>
      <c r="AM519" s="306"/>
    </row>
    <row r="520" spans="1:39" ht="45">
      <c r="A520" s="527">
        <v>34</v>
      </c>
      <c r="B520" s="909" t="s">
        <v>848</v>
      </c>
      <c r="C520" s="291" t="s">
        <v>25</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772"/>
      <c r="Z520" s="409"/>
      <c r="AA520" s="409"/>
      <c r="AB520" s="409"/>
      <c r="AC520" s="409"/>
      <c r="AD520" s="409"/>
      <c r="AE520" s="409"/>
      <c r="AF520" s="414"/>
      <c r="AG520" s="414"/>
      <c r="AH520" s="414"/>
      <c r="AI520" s="414"/>
      <c r="AJ520" s="414"/>
      <c r="AK520" s="414"/>
      <c r="AL520" s="414"/>
      <c r="AM520" s="296">
        <f>SUM(Y520:AL520)</f>
        <v>0</v>
      </c>
    </row>
    <row r="521" spans="1:39">
      <c r="A521" s="527"/>
      <c r="B521" s="775" t="s">
        <v>308</v>
      </c>
      <c r="C521" s="291" t="s">
        <v>163</v>
      </c>
      <c r="D521" s="295"/>
      <c r="E521" s="295"/>
      <c r="F521" s="295"/>
      <c r="G521" s="295"/>
      <c r="H521" s="295"/>
      <c r="I521" s="295"/>
      <c r="J521" s="295"/>
      <c r="K521" s="295"/>
      <c r="L521" s="295"/>
      <c r="M521" s="295"/>
      <c r="N521" s="295">
        <f>N520</f>
        <v>12</v>
      </c>
      <c r="O521" s="295"/>
      <c r="P521" s="295"/>
      <c r="Q521" s="295"/>
      <c r="R521" s="295"/>
      <c r="S521" s="295"/>
      <c r="T521" s="295"/>
      <c r="U521" s="295"/>
      <c r="V521" s="295"/>
      <c r="W521" s="295"/>
      <c r="X521" s="295"/>
      <c r="Y521" s="410">
        <f>Y520</f>
        <v>0</v>
      </c>
      <c r="Z521" s="410">
        <f t="shared" ref="Z521" si="1492">Z520</f>
        <v>0</v>
      </c>
      <c r="AA521" s="410">
        <f t="shared" ref="AA521" si="1493">AA520</f>
        <v>0</v>
      </c>
      <c r="AB521" s="410">
        <f t="shared" ref="AB521" si="1494">AB520</f>
        <v>0</v>
      </c>
      <c r="AC521" s="410">
        <f t="shared" ref="AC521" si="1495">AC520</f>
        <v>0</v>
      </c>
      <c r="AD521" s="410">
        <f t="shared" ref="AD521" si="1496">AD520</f>
        <v>0</v>
      </c>
      <c r="AE521" s="410">
        <f t="shared" ref="AE521" si="1497">AE520</f>
        <v>0</v>
      </c>
      <c r="AF521" s="410">
        <f t="shared" ref="AF521" si="1498">AF520</f>
        <v>0</v>
      </c>
      <c r="AG521" s="410">
        <f t="shared" ref="AG521" si="1499">AG520</f>
        <v>0</v>
      </c>
      <c r="AH521" s="410">
        <f t="shared" ref="AH521" si="1500">AH520</f>
        <v>0</v>
      </c>
      <c r="AI521" s="410">
        <f t="shared" ref="AI521" si="1501">AI520</f>
        <v>0</v>
      </c>
      <c r="AJ521" s="410">
        <f t="shared" ref="AJ521" si="1502">AJ520</f>
        <v>0</v>
      </c>
      <c r="AK521" s="410">
        <f t="shared" ref="AK521" si="1503">AK520</f>
        <v>0</v>
      </c>
      <c r="AL521" s="410">
        <f t="shared" ref="AL521" si="1504">AL520</f>
        <v>0</v>
      </c>
      <c r="AM521" s="306"/>
    </row>
    <row r="522" spans="1:39">
      <c r="A522" s="527"/>
      <c r="B522" s="782"/>
      <c r="C522" s="291"/>
      <c r="D522" s="758"/>
      <c r="E522" s="758"/>
      <c r="F522" s="758"/>
      <c r="G522" s="758"/>
      <c r="H522" s="758"/>
      <c r="I522" s="758"/>
      <c r="J522" s="758"/>
      <c r="K522" s="758"/>
      <c r="L522" s="758"/>
      <c r="M522" s="758"/>
      <c r="N522" s="758"/>
      <c r="O522" s="758"/>
      <c r="P522" s="758"/>
      <c r="Q522" s="758"/>
      <c r="R522" s="758"/>
      <c r="S522" s="758"/>
      <c r="T522" s="758"/>
      <c r="U522" s="758"/>
      <c r="V522" s="758"/>
      <c r="W522" s="758"/>
      <c r="X522" s="758"/>
      <c r="Y522" s="411"/>
      <c r="Z522" s="422"/>
      <c r="AA522" s="422"/>
      <c r="AB522" s="422"/>
      <c r="AC522" s="422"/>
      <c r="AD522" s="422"/>
      <c r="AE522" s="422"/>
      <c r="AF522" s="422"/>
      <c r="AG522" s="422"/>
      <c r="AH522" s="422"/>
      <c r="AI522" s="422"/>
      <c r="AJ522" s="422"/>
      <c r="AK522" s="422"/>
      <c r="AL522" s="422"/>
      <c r="AM522" s="306"/>
    </row>
    <row r="523" spans="1:39" ht="34.5" customHeight="1">
      <c r="A523" s="527">
        <v>35</v>
      </c>
      <c r="B523" s="908" t="s">
        <v>850</v>
      </c>
      <c r="C523" s="291" t="s">
        <v>25</v>
      </c>
      <c r="D523" s="295"/>
      <c r="E523" s="295"/>
      <c r="F523" s="295"/>
      <c r="G523" s="295"/>
      <c r="H523" s="295"/>
      <c r="I523" s="295"/>
      <c r="J523" s="295"/>
      <c r="K523" s="295"/>
      <c r="L523" s="295"/>
      <c r="M523" s="295"/>
      <c r="N523" s="919"/>
      <c r="O523" s="295"/>
      <c r="P523" s="295"/>
      <c r="Q523" s="295"/>
      <c r="R523" s="295"/>
      <c r="S523" s="295"/>
      <c r="T523" s="295"/>
      <c r="U523" s="295"/>
      <c r="V523" s="295"/>
      <c r="W523" s="295"/>
      <c r="X523" s="295"/>
      <c r="Y523" s="423"/>
      <c r="Z523" s="409"/>
      <c r="AA523" s="772"/>
      <c r="AB523" s="409"/>
      <c r="AC523" s="409"/>
      <c r="AD523" s="409"/>
      <c r="AE523" s="409"/>
      <c r="AF523" s="414"/>
      <c r="AG523" s="414"/>
      <c r="AH523" s="414"/>
      <c r="AI523" s="414"/>
      <c r="AJ523" s="414"/>
      <c r="AK523" s="414"/>
      <c r="AL523" s="414"/>
      <c r="AM523" s="296">
        <f>SUM(Y523:AL523)</f>
        <v>0</v>
      </c>
    </row>
    <row r="524" spans="1:39">
      <c r="A524" s="527"/>
      <c r="B524" s="775" t="s">
        <v>308</v>
      </c>
      <c r="C524" s="291" t="s">
        <v>163</v>
      </c>
      <c r="D524" s="295"/>
      <c r="E524" s="295"/>
      <c r="F524" s="295"/>
      <c r="G524" s="295"/>
      <c r="H524" s="295"/>
      <c r="I524" s="295"/>
      <c r="J524" s="295"/>
      <c r="K524" s="295"/>
      <c r="L524" s="295"/>
      <c r="M524" s="295"/>
      <c r="N524" s="919"/>
      <c r="O524" s="295"/>
      <c r="P524" s="295"/>
      <c r="Q524" s="295"/>
      <c r="R524" s="295"/>
      <c r="S524" s="295"/>
      <c r="T524" s="295"/>
      <c r="U524" s="295"/>
      <c r="V524" s="295"/>
      <c r="W524" s="295"/>
      <c r="X524" s="295"/>
      <c r="Y524" s="410">
        <f>Y523</f>
        <v>0</v>
      </c>
      <c r="Z524" s="410">
        <f t="shared" ref="Z524" si="1505">Z523</f>
        <v>0</v>
      </c>
      <c r="AA524" s="410">
        <f t="shared" ref="AA524" si="1506">AA523</f>
        <v>0</v>
      </c>
      <c r="AB524" s="410">
        <f t="shared" ref="AB524" si="1507">AB523</f>
        <v>0</v>
      </c>
      <c r="AC524" s="410">
        <f t="shared" ref="AC524" si="1508">AC523</f>
        <v>0</v>
      </c>
      <c r="AD524" s="410">
        <f t="shared" ref="AD524" si="1509">AD523</f>
        <v>0</v>
      </c>
      <c r="AE524" s="410">
        <f t="shared" ref="AE524" si="1510">AE523</f>
        <v>0</v>
      </c>
      <c r="AF524" s="410">
        <f t="shared" ref="AF524" si="1511">AF523</f>
        <v>0</v>
      </c>
      <c r="AG524" s="410">
        <f t="shared" ref="AG524" si="1512">AG523</f>
        <v>0</v>
      </c>
      <c r="AH524" s="410">
        <f t="shared" ref="AH524" si="1513">AH523</f>
        <v>0</v>
      </c>
      <c r="AI524" s="410">
        <f t="shared" ref="AI524" si="1514">AI523</f>
        <v>0</v>
      </c>
      <c r="AJ524" s="410">
        <f t="shared" ref="AJ524" si="1515">AJ523</f>
        <v>0</v>
      </c>
      <c r="AK524" s="410">
        <f t="shared" ref="AK524" si="1516">AK523</f>
        <v>0</v>
      </c>
      <c r="AL524" s="410">
        <f t="shared" ref="AL524" si="1517">AL523</f>
        <v>0</v>
      </c>
      <c r="AM524" s="306"/>
    </row>
    <row r="525" spans="1:39" s="930" customFormat="1">
      <c r="A525" s="933"/>
      <c r="B525" s="782"/>
      <c r="C525" s="917"/>
      <c r="D525" s="758"/>
      <c r="E525" s="758"/>
      <c r="F525" s="758"/>
      <c r="G525" s="758"/>
      <c r="H525" s="758"/>
      <c r="I525" s="758"/>
      <c r="J525" s="758"/>
      <c r="K525" s="758"/>
      <c r="L525" s="758"/>
      <c r="M525" s="758"/>
      <c r="N525" s="758"/>
      <c r="O525" s="758"/>
      <c r="P525" s="758"/>
      <c r="Q525" s="758"/>
      <c r="R525" s="758"/>
      <c r="S525" s="758"/>
      <c r="T525" s="758"/>
      <c r="U525" s="758"/>
      <c r="V525" s="758"/>
      <c r="W525" s="758"/>
      <c r="X525" s="758"/>
      <c r="Y525" s="926"/>
      <c r="Z525" s="928"/>
      <c r="AA525" s="928"/>
      <c r="AB525" s="928"/>
      <c r="AC525" s="928"/>
      <c r="AD525" s="928"/>
      <c r="AE525" s="928"/>
      <c r="AF525" s="928"/>
      <c r="AG525" s="928"/>
      <c r="AH525" s="928"/>
      <c r="AI525" s="928"/>
      <c r="AJ525" s="928"/>
      <c r="AK525" s="928"/>
      <c r="AL525" s="928"/>
      <c r="AM525" s="921"/>
    </row>
    <row r="526" spans="1:39" s="930" customFormat="1" ht="45">
      <c r="A526" s="933"/>
      <c r="B526" s="900" t="s">
        <v>849</v>
      </c>
      <c r="C526" s="917" t="s">
        <v>25</v>
      </c>
      <c r="D526" s="919">
        <f>+'7.  Persistence Report'!AW209</f>
        <v>114341</v>
      </c>
      <c r="E526" s="919">
        <f>+'7.  Persistence Report'!AX209</f>
        <v>114341</v>
      </c>
      <c r="F526" s="919">
        <f>+'7.  Persistence Report'!AY209</f>
        <v>114341</v>
      </c>
      <c r="G526" s="919">
        <f>+'7.  Persistence Report'!AZ209</f>
        <v>114341</v>
      </c>
      <c r="H526" s="919">
        <f>+'7.  Persistence Report'!BA209</f>
        <v>112670</v>
      </c>
      <c r="I526" s="919">
        <f>+'7.  Persistence Report'!BB209</f>
        <v>110661</v>
      </c>
      <c r="J526" s="919">
        <f>+'7.  Persistence Report'!BC209</f>
        <v>110661</v>
      </c>
      <c r="K526" s="919">
        <f>+'7.  Persistence Report'!BD209</f>
        <v>110661</v>
      </c>
      <c r="L526" s="919">
        <f>+'7.  Persistence Report'!BE209</f>
        <v>110661</v>
      </c>
      <c r="M526" s="919">
        <f>+'7.  Persistence Report'!BF209</f>
        <v>110661</v>
      </c>
      <c r="N526" s="919">
        <v>12</v>
      </c>
      <c r="O526" s="919">
        <f>+'7.  Persistence Report'!R209</f>
        <v>12</v>
      </c>
      <c r="P526" s="919">
        <f>+'7.  Persistence Report'!S209</f>
        <v>12</v>
      </c>
      <c r="Q526" s="919">
        <f>+'7.  Persistence Report'!T209</f>
        <v>12</v>
      </c>
      <c r="R526" s="919">
        <f>+'7.  Persistence Report'!U209</f>
        <v>12</v>
      </c>
      <c r="S526" s="919">
        <f>+'7.  Persistence Report'!V209</f>
        <v>12</v>
      </c>
      <c r="T526" s="919">
        <f>+'7.  Persistence Report'!W209</f>
        <v>11</v>
      </c>
      <c r="U526" s="919">
        <f>+'7.  Persistence Report'!X209</f>
        <v>11</v>
      </c>
      <c r="V526" s="919">
        <f>+'7.  Persistence Report'!Y209</f>
        <v>11</v>
      </c>
      <c r="W526" s="919">
        <f>+'7.  Persistence Report'!Z209</f>
        <v>11</v>
      </c>
      <c r="X526" s="919">
        <f>+'7.  Persistence Report'!AA209</f>
        <v>11</v>
      </c>
      <c r="Y526" s="772">
        <v>1</v>
      </c>
      <c r="Z526" s="924"/>
      <c r="AA526" s="924"/>
      <c r="AB526" s="924"/>
      <c r="AC526" s="924"/>
      <c r="AD526" s="924"/>
      <c r="AE526" s="924"/>
      <c r="AF526" s="927"/>
      <c r="AG526" s="927"/>
      <c r="AH526" s="927"/>
      <c r="AI526" s="927"/>
      <c r="AJ526" s="927"/>
      <c r="AK526" s="927"/>
      <c r="AL526" s="927"/>
      <c r="AM526" s="920">
        <f>SUM(Y526:AL526)</f>
        <v>1</v>
      </c>
    </row>
    <row r="527" spans="1:39" s="930" customFormat="1">
      <c r="A527" s="933"/>
      <c r="B527" s="775" t="s">
        <v>308</v>
      </c>
      <c r="C527" s="917" t="s">
        <v>163</v>
      </c>
      <c r="D527" s="919"/>
      <c r="E527" s="919"/>
      <c r="F527" s="919"/>
      <c r="G527" s="919"/>
      <c r="H527" s="919"/>
      <c r="I527" s="919"/>
      <c r="J527" s="919"/>
      <c r="K527" s="919"/>
      <c r="L527" s="919"/>
      <c r="M527" s="919"/>
      <c r="N527" s="919">
        <f>N526</f>
        <v>12</v>
      </c>
      <c r="O527" s="919"/>
      <c r="P527" s="919"/>
      <c r="Q527" s="919"/>
      <c r="R527" s="919"/>
      <c r="S527" s="919"/>
      <c r="T527" s="919"/>
      <c r="U527" s="919"/>
      <c r="V527" s="919"/>
      <c r="W527" s="919"/>
      <c r="X527" s="919"/>
      <c r="Y527" s="925">
        <f>Y526</f>
        <v>1</v>
      </c>
      <c r="Z527" s="925">
        <f t="shared" ref="Z527:AL527" si="1518">Z526</f>
        <v>0</v>
      </c>
      <c r="AA527" s="925">
        <f t="shared" si="1518"/>
        <v>0</v>
      </c>
      <c r="AB527" s="925">
        <f t="shared" si="1518"/>
        <v>0</v>
      </c>
      <c r="AC527" s="925">
        <f t="shared" si="1518"/>
        <v>0</v>
      </c>
      <c r="AD527" s="925">
        <f t="shared" si="1518"/>
        <v>0</v>
      </c>
      <c r="AE527" s="925">
        <f t="shared" si="1518"/>
        <v>0</v>
      </c>
      <c r="AF527" s="925">
        <f t="shared" si="1518"/>
        <v>0</v>
      </c>
      <c r="AG527" s="925">
        <f t="shared" si="1518"/>
        <v>0</v>
      </c>
      <c r="AH527" s="925">
        <f t="shared" si="1518"/>
        <v>0</v>
      </c>
      <c r="AI527" s="925">
        <f t="shared" si="1518"/>
        <v>0</v>
      </c>
      <c r="AJ527" s="925">
        <f t="shared" si="1518"/>
        <v>0</v>
      </c>
      <c r="AK527" s="925">
        <f t="shared" si="1518"/>
        <v>0</v>
      </c>
      <c r="AL527" s="925">
        <f t="shared" si="1518"/>
        <v>0</v>
      </c>
      <c r="AM527" s="921"/>
    </row>
    <row r="528" spans="1:39" s="930" customFormat="1">
      <c r="A528" s="933"/>
      <c r="B528" s="782"/>
      <c r="C528" s="917"/>
      <c r="D528" s="758"/>
      <c r="E528" s="758"/>
      <c r="F528" s="758"/>
      <c r="G528" s="758"/>
      <c r="H528" s="758"/>
      <c r="I528" s="758"/>
      <c r="J528" s="758"/>
      <c r="K528" s="758"/>
      <c r="L528" s="758"/>
      <c r="M528" s="758"/>
      <c r="N528" s="758"/>
      <c r="O528" s="758"/>
      <c r="P528" s="758"/>
      <c r="Q528" s="758"/>
      <c r="R528" s="758"/>
      <c r="S528" s="758"/>
      <c r="T528" s="758"/>
      <c r="U528" s="758"/>
      <c r="V528" s="758"/>
      <c r="W528" s="758"/>
      <c r="X528" s="758"/>
      <c r="Y528" s="926"/>
      <c r="Z528" s="928"/>
      <c r="AA528" s="928"/>
      <c r="AB528" s="928"/>
      <c r="AC528" s="928"/>
      <c r="AD528" s="928"/>
      <c r="AE528" s="928"/>
      <c r="AF528" s="928"/>
      <c r="AG528" s="928"/>
      <c r="AH528" s="928"/>
      <c r="AI528" s="928"/>
      <c r="AJ528" s="928"/>
      <c r="AK528" s="928"/>
      <c r="AL528" s="928"/>
      <c r="AM528" s="921"/>
    </row>
    <row r="529" spans="1:39" s="930" customFormat="1" ht="60">
      <c r="A529" s="933"/>
      <c r="B529" s="900" t="s">
        <v>851</v>
      </c>
      <c r="C529" s="917" t="s">
        <v>25</v>
      </c>
      <c r="D529" s="919">
        <f>+'7.  Persistence Report'!AW208</f>
        <v>103685</v>
      </c>
      <c r="E529" s="919">
        <f>+'7.  Persistence Report'!AX208</f>
        <v>103685</v>
      </c>
      <c r="F529" s="919">
        <f>+'7.  Persistence Report'!AY208</f>
        <v>103685</v>
      </c>
      <c r="G529" s="919">
        <f>+'7.  Persistence Report'!AZ208</f>
        <v>103685</v>
      </c>
      <c r="H529" s="919">
        <f>+'7.  Persistence Report'!BA208</f>
        <v>103685</v>
      </c>
      <c r="I529" s="919">
        <f>+'7.  Persistence Report'!BB208</f>
        <v>103685</v>
      </c>
      <c r="J529" s="919">
        <f>+'7.  Persistence Report'!BC208</f>
        <v>103685</v>
      </c>
      <c r="K529" s="919">
        <f>+'7.  Persistence Report'!BD208</f>
        <v>103685</v>
      </c>
      <c r="L529" s="919">
        <f>+'7.  Persistence Report'!BE208</f>
        <v>0</v>
      </c>
      <c r="M529" s="919">
        <f>+'7.  Persistence Report'!BF208</f>
        <v>0</v>
      </c>
      <c r="N529" s="919">
        <v>12</v>
      </c>
      <c r="O529" s="919">
        <f>+'7.  Persistence Report'!R208</f>
        <v>0</v>
      </c>
      <c r="P529" s="919">
        <f>+'7.  Persistence Report'!S208</f>
        <v>0</v>
      </c>
      <c r="Q529" s="919">
        <f>+'7.  Persistence Report'!T208</f>
        <v>0</v>
      </c>
      <c r="R529" s="919">
        <f>+'7.  Persistence Report'!U208</f>
        <v>0</v>
      </c>
      <c r="S529" s="919">
        <f>+'7.  Persistence Report'!V208</f>
        <v>0</v>
      </c>
      <c r="T529" s="919">
        <f>+'7.  Persistence Report'!W208</f>
        <v>0</v>
      </c>
      <c r="U529" s="919">
        <f>+'7.  Persistence Report'!X208</f>
        <v>0</v>
      </c>
      <c r="V529" s="919">
        <f>+'7.  Persistence Report'!Y208</f>
        <v>0</v>
      </c>
      <c r="W529" s="919">
        <f>+'7.  Persistence Report'!Z208</f>
        <v>0</v>
      </c>
      <c r="X529" s="919">
        <f>+'7.  Persistence Report'!AA208</f>
        <v>0</v>
      </c>
      <c r="Y529" s="929"/>
      <c r="Z529" s="772">
        <v>1</v>
      </c>
      <c r="AA529" s="772"/>
      <c r="AB529" s="924"/>
      <c r="AC529" s="924"/>
      <c r="AD529" s="924"/>
      <c r="AE529" s="924"/>
      <c r="AF529" s="927"/>
      <c r="AG529" s="927"/>
      <c r="AH529" s="927"/>
      <c r="AI529" s="927"/>
      <c r="AJ529" s="927"/>
      <c r="AK529" s="927"/>
      <c r="AL529" s="927"/>
      <c r="AM529" s="920">
        <f>SUM(Y529:AL529)</f>
        <v>1</v>
      </c>
    </row>
    <row r="530" spans="1:39" s="930" customFormat="1">
      <c r="A530" s="933"/>
      <c r="B530" s="775" t="s">
        <v>308</v>
      </c>
      <c r="C530" s="917" t="s">
        <v>163</v>
      </c>
      <c r="D530" s="919"/>
      <c r="E530" s="919"/>
      <c r="F530" s="919"/>
      <c r="G530" s="919"/>
      <c r="H530" s="919"/>
      <c r="I530" s="919"/>
      <c r="J530" s="919"/>
      <c r="K530" s="919"/>
      <c r="L530" s="919"/>
      <c r="M530" s="919"/>
      <c r="N530" s="919">
        <f>N529</f>
        <v>12</v>
      </c>
      <c r="O530" s="919"/>
      <c r="P530" s="919"/>
      <c r="Q530" s="919"/>
      <c r="R530" s="919"/>
      <c r="S530" s="919"/>
      <c r="T530" s="919"/>
      <c r="U530" s="919"/>
      <c r="V530" s="919"/>
      <c r="W530" s="919"/>
      <c r="X530" s="919"/>
      <c r="Y530" s="925">
        <f>Y529</f>
        <v>0</v>
      </c>
      <c r="Z530" s="925">
        <f t="shared" ref="Z530:AL530" si="1519">Z529</f>
        <v>1</v>
      </c>
      <c r="AA530" s="925">
        <f t="shared" si="1519"/>
        <v>0</v>
      </c>
      <c r="AB530" s="925">
        <f t="shared" si="1519"/>
        <v>0</v>
      </c>
      <c r="AC530" s="925">
        <f t="shared" si="1519"/>
        <v>0</v>
      </c>
      <c r="AD530" s="925">
        <f t="shared" si="1519"/>
        <v>0</v>
      </c>
      <c r="AE530" s="925">
        <f t="shared" si="1519"/>
        <v>0</v>
      </c>
      <c r="AF530" s="925">
        <f t="shared" si="1519"/>
        <v>0</v>
      </c>
      <c r="AG530" s="925">
        <f t="shared" si="1519"/>
        <v>0</v>
      </c>
      <c r="AH530" s="925">
        <f t="shared" si="1519"/>
        <v>0</v>
      </c>
      <c r="AI530" s="925">
        <f t="shared" si="1519"/>
        <v>0</v>
      </c>
      <c r="AJ530" s="925">
        <f t="shared" si="1519"/>
        <v>0</v>
      </c>
      <c r="AK530" s="925">
        <f t="shared" si="1519"/>
        <v>0</v>
      </c>
      <c r="AL530" s="925">
        <f t="shared" si="1519"/>
        <v>0</v>
      </c>
      <c r="AM530" s="921"/>
    </row>
    <row r="531" spans="1:39">
      <c r="A531" s="527"/>
      <c r="B531" s="428"/>
      <c r="C531" s="291"/>
      <c r="D531" s="758"/>
      <c r="E531" s="758"/>
      <c r="F531" s="758"/>
      <c r="G531" s="758"/>
      <c r="H531" s="758"/>
      <c r="I531" s="758"/>
      <c r="J531" s="758"/>
      <c r="K531" s="758"/>
      <c r="L531" s="758"/>
      <c r="M531" s="758"/>
      <c r="N531" s="758"/>
      <c r="O531" s="758"/>
      <c r="P531" s="758"/>
      <c r="Q531" s="758"/>
      <c r="R531" s="758"/>
      <c r="S531" s="758"/>
      <c r="T531" s="758"/>
      <c r="U531" s="758"/>
      <c r="V531" s="758"/>
      <c r="W531" s="758"/>
      <c r="X531" s="758"/>
      <c r="Y531" s="411"/>
      <c r="Z531" s="422"/>
      <c r="AA531" s="422"/>
      <c r="AB531" s="422"/>
      <c r="AC531" s="422"/>
      <c r="AD531" s="422"/>
      <c r="AE531" s="422"/>
      <c r="AF531" s="422"/>
      <c r="AG531" s="422"/>
      <c r="AH531" s="422"/>
      <c r="AI531" s="422"/>
      <c r="AJ531" s="422"/>
      <c r="AK531" s="422"/>
      <c r="AL531" s="422"/>
      <c r="AM531" s="306"/>
    </row>
    <row r="532" spans="1:39" ht="15.75">
      <c r="A532" s="527"/>
      <c r="B532" s="499" t="s">
        <v>502</v>
      </c>
      <c r="C532" s="291"/>
      <c r="D532" s="758"/>
      <c r="E532" s="758"/>
      <c r="F532" s="758"/>
      <c r="G532" s="758"/>
      <c r="H532" s="758"/>
      <c r="I532" s="758"/>
      <c r="J532" s="758"/>
      <c r="K532" s="758"/>
      <c r="L532" s="758"/>
      <c r="M532" s="758"/>
      <c r="N532" s="758"/>
      <c r="O532" s="758"/>
      <c r="P532" s="758"/>
      <c r="Q532" s="758"/>
      <c r="R532" s="758"/>
      <c r="S532" s="758"/>
      <c r="T532" s="758"/>
      <c r="U532" s="758"/>
      <c r="V532" s="758"/>
      <c r="W532" s="758"/>
      <c r="X532" s="758"/>
      <c r="Y532" s="411"/>
      <c r="Z532" s="422"/>
      <c r="AA532" s="422"/>
      <c r="AB532" s="422"/>
      <c r="AC532" s="422"/>
      <c r="AD532" s="422"/>
      <c r="AE532" s="422"/>
      <c r="AF532" s="422"/>
      <c r="AG532" s="422"/>
      <c r="AH532" s="422"/>
      <c r="AI532" s="422"/>
      <c r="AJ532" s="422"/>
      <c r="AK532" s="422"/>
      <c r="AL532" s="422"/>
      <c r="AM532" s="306"/>
    </row>
    <row r="533" spans="1:39" ht="75" outlineLevel="1">
      <c r="A533" s="527">
        <v>36</v>
      </c>
      <c r="B533" s="425" t="s">
        <v>128</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3"/>
      <c r="Z533" s="409"/>
      <c r="AA533" s="409"/>
      <c r="AB533" s="409"/>
      <c r="AC533" s="409"/>
      <c r="AD533" s="409"/>
      <c r="AE533" s="409"/>
      <c r="AF533" s="414"/>
      <c r="AG533" s="414"/>
      <c r="AH533" s="414"/>
      <c r="AI533" s="414"/>
      <c r="AJ533" s="414"/>
      <c r="AK533" s="414"/>
      <c r="AL533" s="414"/>
      <c r="AM533" s="296">
        <f>SUM(Y533:AL533)</f>
        <v>0</v>
      </c>
    </row>
    <row r="534" spans="1:39" outlineLevel="1">
      <c r="A534" s="527"/>
      <c r="B534" s="428"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0">
        <f>Y533</f>
        <v>0</v>
      </c>
      <c r="Z534" s="410">
        <f t="shared" ref="Z534" si="1520">Z533</f>
        <v>0</v>
      </c>
      <c r="AA534" s="410">
        <f t="shared" ref="AA534" si="1521">AA533</f>
        <v>0</v>
      </c>
      <c r="AB534" s="410">
        <f t="shared" ref="AB534" si="1522">AB533</f>
        <v>0</v>
      </c>
      <c r="AC534" s="410">
        <f t="shared" ref="AC534" si="1523">AC533</f>
        <v>0</v>
      </c>
      <c r="AD534" s="410">
        <f t="shared" ref="AD534" si="1524">AD533</f>
        <v>0</v>
      </c>
      <c r="AE534" s="410">
        <f t="shared" ref="AE534" si="1525">AE533</f>
        <v>0</v>
      </c>
      <c r="AF534" s="410">
        <f t="shared" ref="AF534" si="1526">AF533</f>
        <v>0</v>
      </c>
      <c r="AG534" s="410">
        <f t="shared" ref="AG534" si="1527">AG533</f>
        <v>0</v>
      </c>
      <c r="AH534" s="410">
        <f t="shared" ref="AH534" si="1528">AH533</f>
        <v>0</v>
      </c>
      <c r="AI534" s="410">
        <f t="shared" ref="AI534" si="1529">AI533</f>
        <v>0</v>
      </c>
      <c r="AJ534" s="410">
        <f t="shared" ref="AJ534" si="1530">AJ533</f>
        <v>0</v>
      </c>
      <c r="AK534" s="410">
        <f t="shared" ref="AK534" si="1531">AK533</f>
        <v>0</v>
      </c>
      <c r="AL534" s="410">
        <f t="shared" ref="AL534" si="1532">AL533</f>
        <v>0</v>
      </c>
      <c r="AM534" s="306"/>
    </row>
    <row r="535" spans="1:39" outlineLevel="1">
      <c r="A535" s="527"/>
      <c r="B535" s="425"/>
      <c r="C535" s="291"/>
      <c r="D535" s="758"/>
      <c r="E535" s="758"/>
      <c r="F535" s="758"/>
      <c r="G535" s="758"/>
      <c r="H535" s="758"/>
      <c r="I535" s="758"/>
      <c r="J535" s="758"/>
      <c r="K535" s="758"/>
      <c r="L535" s="758"/>
      <c r="M535" s="758"/>
      <c r="N535" s="758"/>
      <c r="O535" s="758"/>
      <c r="P535" s="758"/>
      <c r="Q535" s="758"/>
      <c r="R535" s="758"/>
      <c r="S535" s="758"/>
      <c r="T535" s="758"/>
      <c r="U535" s="758"/>
      <c r="V535" s="758"/>
      <c r="W535" s="758"/>
      <c r="X535" s="758"/>
      <c r="Y535" s="411"/>
      <c r="Z535" s="422"/>
      <c r="AA535" s="422"/>
      <c r="AB535" s="422"/>
      <c r="AC535" s="422"/>
      <c r="AD535" s="422"/>
      <c r="AE535" s="422"/>
      <c r="AF535" s="422"/>
      <c r="AG535" s="422"/>
      <c r="AH535" s="422"/>
      <c r="AI535" s="422"/>
      <c r="AJ535" s="422"/>
      <c r="AK535" s="422"/>
      <c r="AL535" s="422"/>
      <c r="AM535" s="306"/>
    </row>
    <row r="536" spans="1:39" ht="30" outlineLevel="1">
      <c r="A536" s="527">
        <v>37</v>
      </c>
      <c r="B536" s="425" t="s">
        <v>129</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3"/>
      <c r="Z536" s="409"/>
      <c r="AA536" s="409"/>
      <c r="AB536" s="409"/>
      <c r="AC536" s="409"/>
      <c r="AD536" s="409"/>
      <c r="AE536" s="409"/>
      <c r="AF536" s="414"/>
      <c r="AG536" s="414"/>
      <c r="AH536" s="414"/>
      <c r="AI536" s="414"/>
      <c r="AJ536" s="414"/>
      <c r="AK536" s="414"/>
      <c r="AL536" s="414"/>
      <c r="AM536" s="296">
        <f>SUM(Y536:AL536)</f>
        <v>0</v>
      </c>
    </row>
    <row r="537" spans="1:39" outlineLevel="1">
      <c r="A537" s="527"/>
      <c r="B537" s="428"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0">
        <f>Y536</f>
        <v>0</v>
      </c>
      <c r="Z537" s="410">
        <f t="shared" ref="Z537" si="1533">Z536</f>
        <v>0</v>
      </c>
      <c r="AA537" s="410">
        <f t="shared" ref="AA537" si="1534">AA536</f>
        <v>0</v>
      </c>
      <c r="AB537" s="410">
        <f t="shared" ref="AB537" si="1535">AB536</f>
        <v>0</v>
      </c>
      <c r="AC537" s="410">
        <f t="shared" ref="AC537" si="1536">AC536</f>
        <v>0</v>
      </c>
      <c r="AD537" s="410">
        <f t="shared" ref="AD537" si="1537">AD536</f>
        <v>0</v>
      </c>
      <c r="AE537" s="410">
        <f t="shared" ref="AE537" si="1538">AE536</f>
        <v>0</v>
      </c>
      <c r="AF537" s="410">
        <f t="shared" ref="AF537" si="1539">AF536</f>
        <v>0</v>
      </c>
      <c r="AG537" s="410">
        <f t="shared" ref="AG537" si="1540">AG536</f>
        <v>0</v>
      </c>
      <c r="AH537" s="410">
        <f t="shared" ref="AH537" si="1541">AH536</f>
        <v>0</v>
      </c>
      <c r="AI537" s="410">
        <f t="shared" ref="AI537" si="1542">AI536</f>
        <v>0</v>
      </c>
      <c r="AJ537" s="410">
        <f t="shared" ref="AJ537" si="1543">AJ536</f>
        <v>0</v>
      </c>
      <c r="AK537" s="410">
        <f t="shared" ref="AK537" si="1544">AK536</f>
        <v>0</v>
      </c>
      <c r="AL537" s="410">
        <f t="shared" ref="AL537" si="1545">AL536</f>
        <v>0</v>
      </c>
      <c r="AM537" s="306"/>
    </row>
    <row r="538" spans="1:39" outlineLevel="1">
      <c r="A538" s="527"/>
      <c r="B538" s="425"/>
      <c r="C538" s="291"/>
      <c r="D538" s="758"/>
      <c r="E538" s="758"/>
      <c r="F538" s="758"/>
      <c r="G538" s="758"/>
      <c r="H538" s="758"/>
      <c r="I538" s="758"/>
      <c r="J538" s="758"/>
      <c r="K538" s="758"/>
      <c r="L538" s="758"/>
      <c r="M538" s="758"/>
      <c r="N538" s="758"/>
      <c r="O538" s="758"/>
      <c r="P538" s="758"/>
      <c r="Q538" s="758"/>
      <c r="R538" s="758"/>
      <c r="S538" s="758"/>
      <c r="T538" s="758"/>
      <c r="U538" s="758"/>
      <c r="V538" s="758"/>
      <c r="W538" s="758"/>
      <c r="X538" s="758"/>
      <c r="Y538" s="411"/>
      <c r="Z538" s="422"/>
      <c r="AA538" s="422"/>
      <c r="AB538" s="422"/>
      <c r="AC538" s="422"/>
      <c r="AD538" s="422"/>
      <c r="AE538" s="422"/>
      <c r="AF538" s="422"/>
      <c r="AG538" s="422"/>
      <c r="AH538" s="422"/>
      <c r="AI538" s="422"/>
      <c r="AJ538" s="422"/>
      <c r="AK538" s="422"/>
      <c r="AL538" s="422"/>
      <c r="AM538" s="306"/>
    </row>
    <row r="539" spans="1:39" ht="30" outlineLevel="1">
      <c r="A539" s="527">
        <v>38</v>
      </c>
      <c r="B539" s="425" t="s">
        <v>130</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3"/>
      <c r="Z539" s="409"/>
      <c r="AA539" s="409"/>
      <c r="AB539" s="409"/>
      <c r="AC539" s="409"/>
      <c r="AD539" s="409"/>
      <c r="AE539" s="409"/>
      <c r="AF539" s="414"/>
      <c r="AG539" s="414"/>
      <c r="AH539" s="414"/>
      <c r="AI539" s="414"/>
      <c r="AJ539" s="414"/>
      <c r="AK539" s="414"/>
      <c r="AL539" s="414"/>
      <c r="AM539" s="296">
        <f>SUM(Y539:AL539)</f>
        <v>0</v>
      </c>
    </row>
    <row r="540" spans="1:39" outlineLevel="1">
      <c r="A540" s="527"/>
      <c r="B540" s="428"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0">
        <f>Y539</f>
        <v>0</v>
      </c>
      <c r="Z540" s="410">
        <f t="shared" ref="Z540" si="1546">Z539</f>
        <v>0</v>
      </c>
      <c r="AA540" s="410">
        <f t="shared" ref="AA540" si="1547">AA539</f>
        <v>0</v>
      </c>
      <c r="AB540" s="410">
        <f t="shared" ref="AB540" si="1548">AB539</f>
        <v>0</v>
      </c>
      <c r="AC540" s="410">
        <f t="shared" ref="AC540" si="1549">AC539</f>
        <v>0</v>
      </c>
      <c r="AD540" s="410">
        <f t="shared" ref="AD540" si="1550">AD539</f>
        <v>0</v>
      </c>
      <c r="AE540" s="410">
        <f t="shared" ref="AE540" si="1551">AE539</f>
        <v>0</v>
      </c>
      <c r="AF540" s="410">
        <f t="shared" ref="AF540" si="1552">AF539</f>
        <v>0</v>
      </c>
      <c r="AG540" s="410">
        <f t="shared" ref="AG540" si="1553">AG539</f>
        <v>0</v>
      </c>
      <c r="AH540" s="410">
        <f t="shared" ref="AH540" si="1554">AH539</f>
        <v>0</v>
      </c>
      <c r="AI540" s="410">
        <f t="shared" ref="AI540" si="1555">AI539</f>
        <v>0</v>
      </c>
      <c r="AJ540" s="410">
        <f t="shared" ref="AJ540" si="1556">AJ539</f>
        <v>0</v>
      </c>
      <c r="AK540" s="410">
        <f t="shared" ref="AK540" si="1557">AK539</f>
        <v>0</v>
      </c>
      <c r="AL540" s="410">
        <f t="shared" ref="AL540" si="1558">AL539</f>
        <v>0</v>
      </c>
      <c r="AM540" s="306"/>
    </row>
    <row r="541" spans="1:39" outlineLevel="1">
      <c r="A541" s="527"/>
      <c r="B541" s="425"/>
      <c r="C541" s="291"/>
      <c r="D541" s="758"/>
      <c r="E541" s="758"/>
      <c r="F541" s="758"/>
      <c r="G541" s="758"/>
      <c r="H541" s="758"/>
      <c r="I541" s="758"/>
      <c r="J541" s="758"/>
      <c r="K541" s="758"/>
      <c r="L541" s="758"/>
      <c r="M541" s="758"/>
      <c r="N541" s="758"/>
      <c r="O541" s="758"/>
      <c r="P541" s="758"/>
      <c r="Q541" s="758"/>
      <c r="R541" s="758"/>
      <c r="S541" s="758"/>
      <c r="T541" s="758"/>
      <c r="U541" s="758"/>
      <c r="V541" s="758"/>
      <c r="W541" s="758"/>
      <c r="X541" s="758"/>
      <c r="Y541" s="411"/>
      <c r="Z541" s="422"/>
      <c r="AA541" s="422"/>
      <c r="AB541" s="422"/>
      <c r="AC541" s="422"/>
      <c r="AD541" s="422"/>
      <c r="AE541" s="422"/>
      <c r="AF541" s="422"/>
      <c r="AG541" s="422"/>
      <c r="AH541" s="422"/>
      <c r="AI541" s="422"/>
      <c r="AJ541" s="422"/>
      <c r="AK541" s="422"/>
      <c r="AL541" s="422"/>
      <c r="AM541" s="306"/>
    </row>
    <row r="542" spans="1:39" ht="30" outlineLevel="1">
      <c r="A542" s="527">
        <v>39</v>
      </c>
      <c r="B542" s="425" t="s">
        <v>131</v>
      </c>
      <c r="C542" s="291" t="s">
        <v>25</v>
      </c>
      <c r="D542" s="295"/>
      <c r="E542" s="295"/>
      <c r="F542" s="295"/>
      <c r="G542" s="295"/>
      <c r="H542" s="295"/>
      <c r="I542" s="295"/>
      <c r="J542" s="295"/>
      <c r="K542" s="295"/>
      <c r="L542" s="295"/>
      <c r="M542" s="295"/>
      <c r="N542" s="295">
        <v>12</v>
      </c>
      <c r="O542" s="295"/>
      <c r="P542" s="295"/>
      <c r="Q542" s="295"/>
      <c r="R542" s="295"/>
      <c r="S542" s="295"/>
      <c r="T542" s="295"/>
      <c r="U542" s="295"/>
      <c r="V542" s="295"/>
      <c r="W542" s="295"/>
      <c r="X542" s="295"/>
      <c r="Y542" s="423"/>
      <c r="Z542" s="409"/>
      <c r="AA542" s="409"/>
      <c r="AB542" s="409"/>
      <c r="AC542" s="409"/>
      <c r="AD542" s="409"/>
      <c r="AE542" s="409"/>
      <c r="AF542" s="414"/>
      <c r="AG542" s="414"/>
      <c r="AH542" s="414"/>
      <c r="AI542" s="414"/>
      <c r="AJ542" s="414"/>
      <c r="AK542" s="414"/>
      <c r="AL542" s="414"/>
      <c r="AM542" s="296">
        <f>SUM(Y542:AL542)</f>
        <v>0</v>
      </c>
    </row>
    <row r="543" spans="1:39" outlineLevel="1">
      <c r="A543" s="527"/>
      <c r="B543" s="428" t="s">
        <v>308</v>
      </c>
      <c r="C543" s="291" t="s">
        <v>163</v>
      </c>
      <c r="D543" s="295"/>
      <c r="E543" s="295"/>
      <c r="F543" s="295"/>
      <c r="G543" s="295"/>
      <c r="H543" s="295"/>
      <c r="I543" s="295"/>
      <c r="J543" s="295"/>
      <c r="K543" s="295"/>
      <c r="L543" s="295"/>
      <c r="M543" s="295"/>
      <c r="N543" s="295">
        <f>N542</f>
        <v>12</v>
      </c>
      <c r="O543" s="295"/>
      <c r="P543" s="295"/>
      <c r="Q543" s="295"/>
      <c r="R543" s="295"/>
      <c r="S543" s="295"/>
      <c r="T543" s="295"/>
      <c r="U543" s="295"/>
      <c r="V543" s="295"/>
      <c r="W543" s="295"/>
      <c r="X543" s="295"/>
      <c r="Y543" s="410">
        <f>Y542</f>
        <v>0</v>
      </c>
      <c r="Z543" s="410">
        <f t="shared" ref="Z543" si="1559">Z542</f>
        <v>0</v>
      </c>
      <c r="AA543" s="410">
        <f t="shared" ref="AA543" si="1560">AA542</f>
        <v>0</v>
      </c>
      <c r="AB543" s="410">
        <f t="shared" ref="AB543" si="1561">AB542</f>
        <v>0</v>
      </c>
      <c r="AC543" s="410">
        <f t="shared" ref="AC543" si="1562">AC542</f>
        <v>0</v>
      </c>
      <c r="AD543" s="410">
        <f t="shared" ref="AD543" si="1563">AD542</f>
        <v>0</v>
      </c>
      <c r="AE543" s="410">
        <f t="shared" ref="AE543" si="1564">AE542</f>
        <v>0</v>
      </c>
      <c r="AF543" s="410">
        <f t="shared" ref="AF543" si="1565">AF542</f>
        <v>0</v>
      </c>
      <c r="AG543" s="410">
        <f t="shared" ref="AG543" si="1566">AG542</f>
        <v>0</v>
      </c>
      <c r="AH543" s="410">
        <f t="shared" ref="AH543" si="1567">AH542</f>
        <v>0</v>
      </c>
      <c r="AI543" s="410">
        <f t="shared" ref="AI543" si="1568">AI542</f>
        <v>0</v>
      </c>
      <c r="AJ543" s="410">
        <f t="shared" ref="AJ543" si="1569">AJ542</f>
        <v>0</v>
      </c>
      <c r="AK543" s="410">
        <f t="shared" ref="AK543" si="1570">AK542</f>
        <v>0</v>
      </c>
      <c r="AL543" s="410">
        <f t="shared" ref="AL543" si="1571">AL542</f>
        <v>0</v>
      </c>
      <c r="AM543" s="306"/>
    </row>
    <row r="544" spans="1:39" outlineLevel="1">
      <c r="A544" s="527"/>
      <c r="B544" s="425"/>
      <c r="C544" s="291"/>
      <c r="D544" s="758"/>
      <c r="E544" s="758"/>
      <c r="F544" s="758"/>
      <c r="G544" s="758"/>
      <c r="H544" s="758"/>
      <c r="I544" s="758"/>
      <c r="J544" s="758"/>
      <c r="K544" s="758"/>
      <c r="L544" s="758"/>
      <c r="M544" s="758"/>
      <c r="N544" s="758"/>
      <c r="O544" s="758"/>
      <c r="P544" s="758"/>
      <c r="Q544" s="758"/>
      <c r="R544" s="758"/>
      <c r="S544" s="758"/>
      <c r="T544" s="758"/>
      <c r="U544" s="758"/>
      <c r="V544" s="758"/>
      <c r="W544" s="758"/>
      <c r="X544" s="758"/>
      <c r="Y544" s="411"/>
      <c r="Z544" s="422"/>
      <c r="AA544" s="422"/>
      <c r="AB544" s="422"/>
      <c r="AC544" s="422"/>
      <c r="AD544" s="422"/>
      <c r="AE544" s="422"/>
      <c r="AF544" s="422"/>
      <c r="AG544" s="422"/>
      <c r="AH544" s="422"/>
      <c r="AI544" s="422"/>
      <c r="AJ544" s="422"/>
      <c r="AK544" s="422"/>
      <c r="AL544" s="422"/>
      <c r="AM544" s="306"/>
    </row>
    <row r="545" spans="1:39" ht="30" outlineLevel="1">
      <c r="A545" s="527">
        <v>40</v>
      </c>
      <c r="B545" s="425" t="s">
        <v>132</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3"/>
      <c r="Z545" s="409"/>
      <c r="AA545" s="409"/>
      <c r="AB545" s="409"/>
      <c r="AC545" s="409"/>
      <c r="AD545" s="409"/>
      <c r="AE545" s="409"/>
      <c r="AF545" s="414"/>
      <c r="AG545" s="414"/>
      <c r="AH545" s="414"/>
      <c r="AI545" s="414"/>
      <c r="AJ545" s="414"/>
      <c r="AK545" s="414"/>
      <c r="AL545" s="414"/>
      <c r="AM545" s="296">
        <f>SUM(Y545:AL545)</f>
        <v>0</v>
      </c>
    </row>
    <row r="546" spans="1:39" outlineLevel="1">
      <c r="A546" s="527"/>
      <c r="B546" s="428"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0">
        <f>Y545</f>
        <v>0</v>
      </c>
      <c r="Z546" s="410">
        <f t="shared" ref="Z546" si="1572">Z545</f>
        <v>0</v>
      </c>
      <c r="AA546" s="410">
        <f t="shared" ref="AA546" si="1573">AA545</f>
        <v>0</v>
      </c>
      <c r="AB546" s="410">
        <f t="shared" ref="AB546" si="1574">AB545</f>
        <v>0</v>
      </c>
      <c r="AC546" s="410">
        <f t="shared" ref="AC546" si="1575">AC545</f>
        <v>0</v>
      </c>
      <c r="AD546" s="410">
        <f t="shared" ref="AD546" si="1576">AD545</f>
        <v>0</v>
      </c>
      <c r="AE546" s="410">
        <f t="shared" ref="AE546" si="1577">AE545</f>
        <v>0</v>
      </c>
      <c r="AF546" s="410">
        <f t="shared" ref="AF546" si="1578">AF545</f>
        <v>0</v>
      </c>
      <c r="AG546" s="410">
        <f t="shared" ref="AG546" si="1579">AG545</f>
        <v>0</v>
      </c>
      <c r="AH546" s="410">
        <f t="shared" ref="AH546" si="1580">AH545</f>
        <v>0</v>
      </c>
      <c r="AI546" s="410">
        <f t="shared" ref="AI546" si="1581">AI545</f>
        <v>0</v>
      </c>
      <c r="AJ546" s="410">
        <f t="shared" ref="AJ546" si="1582">AJ545</f>
        <v>0</v>
      </c>
      <c r="AK546" s="410">
        <f t="shared" ref="AK546" si="1583">AK545</f>
        <v>0</v>
      </c>
      <c r="AL546" s="410">
        <f t="shared" ref="AL546" si="1584">AL545</f>
        <v>0</v>
      </c>
      <c r="AM546" s="306"/>
    </row>
    <row r="547" spans="1:39" outlineLevel="1">
      <c r="A547" s="527"/>
      <c r="B547" s="425"/>
      <c r="C547" s="291"/>
      <c r="D547" s="758"/>
      <c r="E547" s="758"/>
      <c r="F547" s="758"/>
      <c r="G547" s="758"/>
      <c r="H547" s="758"/>
      <c r="I547" s="758"/>
      <c r="J547" s="758"/>
      <c r="K547" s="758"/>
      <c r="L547" s="758"/>
      <c r="M547" s="758"/>
      <c r="N547" s="758"/>
      <c r="O547" s="758"/>
      <c r="P547" s="758"/>
      <c r="Q547" s="758"/>
      <c r="R547" s="758"/>
      <c r="S547" s="758"/>
      <c r="T547" s="758"/>
      <c r="U547" s="758"/>
      <c r="V547" s="758"/>
      <c r="W547" s="758"/>
      <c r="X547" s="758"/>
      <c r="Y547" s="411"/>
      <c r="Z547" s="422"/>
      <c r="AA547" s="422"/>
      <c r="AB547" s="422"/>
      <c r="AC547" s="422"/>
      <c r="AD547" s="422"/>
      <c r="AE547" s="422"/>
      <c r="AF547" s="422"/>
      <c r="AG547" s="422"/>
      <c r="AH547" s="422"/>
      <c r="AI547" s="422"/>
      <c r="AJ547" s="422"/>
      <c r="AK547" s="422"/>
      <c r="AL547" s="422"/>
      <c r="AM547" s="306"/>
    </row>
    <row r="548" spans="1:39" ht="60" outlineLevel="1">
      <c r="A548" s="527">
        <v>41</v>
      </c>
      <c r="B548" s="425" t="s">
        <v>133</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3"/>
      <c r="Z548" s="409"/>
      <c r="AA548" s="409"/>
      <c r="AB548" s="409"/>
      <c r="AC548" s="409"/>
      <c r="AD548" s="409"/>
      <c r="AE548" s="409"/>
      <c r="AF548" s="414"/>
      <c r="AG548" s="414"/>
      <c r="AH548" s="414"/>
      <c r="AI548" s="414"/>
      <c r="AJ548" s="414"/>
      <c r="AK548" s="414"/>
      <c r="AL548" s="414"/>
      <c r="AM548" s="296">
        <f>SUM(Y548:AL548)</f>
        <v>0</v>
      </c>
    </row>
    <row r="549" spans="1:39" outlineLevel="1">
      <c r="A549" s="527"/>
      <c r="B549" s="428"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0">
        <f>Y548</f>
        <v>0</v>
      </c>
      <c r="Z549" s="410">
        <f t="shared" ref="Z549" si="1585">Z548</f>
        <v>0</v>
      </c>
      <c r="AA549" s="410">
        <f t="shared" ref="AA549" si="1586">AA548</f>
        <v>0</v>
      </c>
      <c r="AB549" s="410">
        <f t="shared" ref="AB549" si="1587">AB548</f>
        <v>0</v>
      </c>
      <c r="AC549" s="410">
        <f t="shared" ref="AC549" si="1588">AC548</f>
        <v>0</v>
      </c>
      <c r="AD549" s="410">
        <f t="shared" ref="AD549" si="1589">AD548</f>
        <v>0</v>
      </c>
      <c r="AE549" s="410">
        <f t="shared" ref="AE549" si="1590">AE548</f>
        <v>0</v>
      </c>
      <c r="AF549" s="410">
        <f t="shared" ref="AF549" si="1591">AF548</f>
        <v>0</v>
      </c>
      <c r="AG549" s="410">
        <f t="shared" ref="AG549" si="1592">AG548</f>
        <v>0</v>
      </c>
      <c r="AH549" s="410">
        <f t="shared" ref="AH549" si="1593">AH548</f>
        <v>0</v>
      </c>
      <c r="AI549" s="410">
        <f t="shared" ref="AI549" si="1594">AI548</f>
        <v>0</v>
      </c>
      <c r="AJ549" s="410">
        <f t="shared" ref="AJ549" si="1595">AJ548</f>
        <v>0</v>
      </c>
      <c r="AK549" s="410">
        <f t="shared" ref="AK549" si="1596">AK548</f>
        <v>0</v>
      </c>
      <c r="AL549" s="410">
        <f t="shared" ref="AL549" si="1597">AL548</f>
        <v>0</v>
      </c>
      <c r="AM549" s="306"/>
    </row>
    <row r="550" spans="1:39" outlineLevel="1">
      <c r="A550" s="527"/>
      <c r="B550" s="425"/>
      <c r="C550" s="291"/>
      <c r="D550" s="758"/>
      <c r="E550" s="758"/>
      <c r="F550" s="758"/>
      <c r="G550" s="758"/>
      <c r="H550" s="758"/>
      <c r="I550" s="758"/>
      <c r="J550" s="758"/>
      <c r="K550" s="758"/>
      <c r="L550" s="758"/>
      <c r="M550" s="758"/>
      <c r="N550" s="758"/>
      <c r="O550" s="758"/>
      <c r="P550" s="758"/>
      <c r="Q550" s="758"/>
      <c r="R550" s="758"/>
      <c r="S550" s="758"/>
      <c r="T550" s="758"/>
      <c r="U550" s="758"/>
      <c r="V550" s="758"/>
      <c r="W550" s="758"/>
      <c r="X550" s="758"/>
      <c r="Y550" s="411"/>
      <c r="Z550" s="422"/>
      <c r="AA550" s="422"/>
      <c r="AB550" s="422"/>
      <c r="AC550" s="422"/>
      <c r="AD550" s="422"/>
      <c r="AE550" s="422"/>
      <c r="AF550" s="422"/>
      <c r="AG550" s="422"/>
      <c r="AH550" s="422"/>
      <c r="AI550" s="422"/>
      <c r="AJ550" s="422"/>
      <c r="AK550" s="422"/>
      <c r="AL550" s="422"/>
      <c r="AM550" s="306"/>
    </row>
    <row r="551" spans="1:39" ht="60" outlineLevel="1">
      <c r="A551" s="527">
        <v>42</v>
      </c>
      <c r="B551" s="425" t="s">
        <v>134</v>
      </c>
      <c r="C551" s="291" t="s">
        <v>25</v>
      </c>
      <c r="D551" s="295"/>
      <c r="E551" s="295"/>
      <c r="F551" s="295"/>
      <c r="G551" s="295"/>
      <c r="H551" s="295"/>
      <c r="I551" s="295"/>
      <c r="J551" s="295"/>
      <c r="K551" s="295"/>
      <c r="L551" s="295"/>
      <c r="M551" s="295"/>
      <c r="N551" s="758"/>
      <c r="O551" s="295"/>
      <c r="P551" s="295"/>
      <c r="Q551" s="295"/>
      <c r="R551" s="295"/>
      <c r="S551" s="295"/>
      <c r="T551" s="295"/>
      <c r="U551" s="295"/>
      <c r="V551" s="295"/>
      <c r="W551" s="295"/>
      <c r="X551" s="295"/>
      <c r="Y551" s="423"/>
      <c r="Z551" s="409"/>
      <c r="AA551" s="409"/>
      <c r="AB551" s="409"/>
      <c r="AC551" s="409"/>
      <c r="AD551" s="409"/>
      <c r="AE551" s="409"/>
      <c r="AF551" s="414"/>
      <c r="AG551" s="414"/>
      <c r="AH551" s="414"/>
      <c r="AI551" s="414"/>
      <c r="AJ551" s="414"/>
      <c r="AK551" s="414"/>
      <c r="AL551" s="414"/>
      <c r="AM551" s="296">
        <f>SUM(Y551:AL551)</f>
        <v>0</v>
      </c>
    </row>
    <row r="552" spans="1:39" outlineLevel="1">
      <c r="A552" s="527"/>
      <c r="B552" s="428" t="s">
        <v>308</v>
      </c>
      <c r="C552" s="291" t="s">
        <v>163</v>
      </c>
      <c r="D552" s="295"/>
      <c r="E552" s="295"/>
      <c r="F552" s="295"/>
      <c r="G552" s="295"/>
      <c r="H552" s="295"/>
      <c r="I552" s="295"/>
      <c r="J552" s="295"/>
      <c r="K552" s="295"/>
      <c r="L552" s="295"/>
      <c r="M552" s="295"/>
      <c r="N552" s="759"/>
      <c r="O552" s="295"/>
      <c r="P552" s="295"/>
      <c r="Q552" s="295"/>
      <c r="R552" s="295"/>
      <c r="S552" s="295"/>
      <c r="T552" s="295"/>
      <c r="U552" s="295"/>
      <c r="V552" s="295"/>
      <c r="W552" s="295"/>
      <c r="X552" s="295"/>
      <c r="Y552" s="410">
        <f>Y551</f>
        <v>0</v>
      </c>
      <c r="Z552" s="410">
        <f t="shared" ref="Z552" si="1598">Z551</f>
        <v>0</v>
      </c>
      <c r="AA552" s="410">
        <f t="shared" ref="AA552" si="1599">AA551</f>
        <v>0</v>
      </c>
      <c r="AB552" s="410">
        <f t="shared" ref="AB552" si="1600">AB551</f>
        <v>0</v>
      </c>
      <c r="AC552" s="410">
        <f t="shared" ref="AC552" si="1601">AC551</f>
        <v>0</v>
      </c>
      <c r="AD552" s="410">
        <f t="shared" ref="AD552" si="1602">AD551</f>
        <v>0</v>
      </c>
      <c r="AE552" s="410">
        <f t="shared" ref="AE552" si="1603">AE551</f>
        <v>0</v>
      </c>
      <c r="AF552" s="410">
        <f t="shared" ref="AF552" si="1604">AF551</f>
        <v>0</v>
      </c>
      <c r="AG552" s="410">
        <f t="shared" ref="AG552" si="1605">AG551</f>
        <v>0</v>
      </c>
      <c r="AH552" s="410">
        <f t="shared" ref="AH552" si="1606">AH551</f>
        <v>0</v>
      </c>
      <c r="AI552" s="410">
        <f t="shared" ref="AI552" si="1607">AI551</f>
        <v>0</v>
      </c>
      <c r="AJ552" s="410">
        <f t="shared" ref="AJ552" si="1608">AJ551</f>
        <v>0</v>
      </c>
      <c r="AK552" s="410">
        <f t="shared" ref="AK552" si="1609">AK551</f>
        <v>0</v>
      </c>
      <c r="AL552" s="410">
        <f t="shared" ref="AL552" si="1610">AL551</f>
        <v>0</v>
      </c>
      <c r="AM552" s="306"/>
    </row>
    <row r="553" spans="1:39" outlineLevel="1">
      <c r="A553" s="527"/>
      <c r="B553" s="425"/>
      <c r="C553" s="291"/>
      <c r="D553" s="758"/>
      <c r="E553" s="758"/>
      <c r="F553" s="758"/>
      <c r="G553" s="758"/>
      <c r="H553" s="758"/>
      <c r="I553" s="758"/>
      <c r="J553" s="758"/>
      <c r="K553" s="758"/>
      <c r="L553" s="758"/>
      <c r="M553" s="758"/>
      <c r="N553" s="758"/>
      <c r="O553" s="758"/>
      <c r="P553" s="758"/>
      <c r="Q553" s="758"/>
      <c r="R553" s="758"/>
      <c r="S553" s="758"/>
      <c r="T553" s="758"/>
      <c r="U553" s="758"/>
      <c r="V553" s="758"/>
      <c r="W553" s="758"/>
      <c r="X553" s="758"/>
      <c r="Y553" s="411"/>
      <c r="Z553" s="422"/>
      <c r="AA553" s="422"/>
      <c r="AB553" s="422"/>
      <c r="AC553" s="422"/>
      <c r="AD553" s="422"/>
      <c r="AE553" s="422"/>
      <c r="AF553" s="422"/>
      <c r="AG553" s="422"/>
      <c r="AH553" s="422"/>
      <c r="AI553" s="422"/>
      <c r="AJ553" s="422"/>
      <c r="AK553" s="422"/>
      <c r="AL553" s="422"/>
      <c r="AM553" s="306"/>
    </row>
    <row r="554" spans="1:39" ht="30" outlineLevel="1">
      <c r="A554" s="527">
        <v>43</v>
      </c>
      <c r="B554" s="425" t="s">
        <v>135</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3"/>
      <c r="Z554" s="409"/>
      <c r="AA554" s="409"/>
      <c r="AB554" s="409"/>
      <c r="AC554" s="409"/>
      <c r="AD554" s="409"/>
      <c r="AE554" s="409"/>
      <c r="AF554" s="414"/>
      <c r="AG554" s="414"/>
      <c r="AH554" s="414"/>
      <c r="AI554" s="414"/>
      <c r="AJ554" s="414"/>
      <c r="AK554" s="414"/>
      <c r="AL554" s="414"/>
      <c r="AM554" s="296">
        <f>SUM(Y554:AL554)</f>
        <v>0</v>
      </c>
    </row>
    <row r="555" spans="1:39" outlineLevel="1">
      <c r="A555" s="527"/>
      <c r="B555" s="428"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0">
        <f>Y554</f>
        <v>0</v>
      </c>
      <c r="Z555" s="410">
        <f t="shared" ref="Z555" si="1611">Z554</f>
        <v>0</v>
      </c>
      <c r="AA555" s="410">
        <f t="shared" ref="AA555" si="1612">AA554</f>
        <v>0</v>
      </c>
      <c r="AB555" s="410">
        <f t="shared" ref="AB555" si="1613">AB554</f>
        <v>0</v>
      </c>
      <c r="AC555" s="410">
        <f t="shared" ref="AC555" si="1614">AC554</f>
        <v>0</v>
      </c>
      <c r="AD555" s="410">
        <f t="shared" ref="AD555" si="1615">AD554</f>
        <v>0</v>
      </c>
      <c r="AE555" s="410">
        <f t="shared" ref="AE555" si="1616">AE554</f>
        <v>0</v>
      </c>
      <c r="AF555" s="410">
        <f t="shared" ref="AF555" si="1617">AF554</f>
        <v>0</v>
      </c>
      <c r="AG555" s="410">
        <f t="shared" ref="AG555" si="1618">AG554</f>
        <v>0</v>
      </c>
      <c r="AH555" s="410">
        <f t="shared" ref="AH555" si="1619">AH554</f>
        <v>0</v>
      </c>
      <c r="AI555" s="410">
        <f t="shared" ref="AI555" si="1620">AI554</f>
        <v>0</v>
      </c>
      <c r="AJ555" s="410">
        <f t="shared" ref="AJ555" si="1621">AJ554</f>
        <v>0</v>
      </c>
      <c r="AK555" s="410">
        <f t="shared" ref="AK555" si="1622">AK554</f>
        <v>0</v>
      </c>
      <c r="AL555" s="410">
        <f t="shared" ref="AL555" si="1623">AL554</f>
        <v>0</v>
      </c>
      <c r="AM555" s="306"/>
    </row>
    <row r="556" spans="1:39">
      <c r="A556" s="527"/>
      <c r="B556" s="425"/>
      <c r="C556" s="291"/>
      <c r="D556" s="758"/>
      <c r="E556" s="758"/>
      <c r="F556" s="758"/>
      <c r="G556" s="758"/>
      <c r="H556" s="758"/>
      <c r="I556" s="758"/>
      <c r="J556" s="758"/>
      <c r="K556" s="758"/>
      <c r="L556" s="758"/>
      <c r="M556" s="758"/>
      <c r="N556" s="758"/>
      <c r="O556" s="758"/>
      <c r="P556" s="758"/>
      <c r="Q556" s="758"/>
      <c r="R556" s="758"/>
      <c r="S556" s="758"/>
      <c r="T556" s="758"/>
      <c r="U556" s="758"/>
      <c r="V556" s="758"/>
      <c r="W556" s="758"/>
      <c r="X556" s="758"/>
      <c r="Y556" s="411"/>
      <c r="Z556" s="422"/>
      <c r="AA556" s="422"/>
      <c r="AB556" s="422"/>
      <c r="AC556" s="422"/>
      <c r="AD556" s="422"/>
      <c r="AE556" s="422"/>
      <c r="AF556" s="422"/>
      <c r="AG556" s="422"/>
      <c r="AH556" s="422"/>
      <c r="AI556" s="422"/>
      <c r="AJ556" s="422"/>
      <c r="AK556" s="422"/>
      <c r="AL556" s="422"/>
      <c r="AM556" s="306"/>
    </row>
    <row r="557" spans="1:39" ht="66.75" customHeight="1">
      <c r="A557" s="527">
        <v>44</v>
      </c>
      <c r="B557" s="908" t="s">
        <v>852</v>
      </c>
      <c r="C557" s="291" t="s">
        <v>25</v>
      </c>
      <c r="D557" s="295"/>
      <c r="E557" s="295"/>
      <c r="F557" s="295"/>
      <c r="G557" s="295"/>
      <c r="H557" s="295"/>
      <c r="I557" s="295"/>
      <c r="J557" s="295"/>
      <c r="K557" s="295"/>
      <c r="L557" s="295"/>
      <c r="M557" s="295"/>
      <c r="N557" s="919">
        <v>12</v>
      </c>
      <c r="O557" s="295"/>
      <c r="P557" s="295"/>
      <c r="Q557" s="295"/>
      <c r="R557" s="295"/>
      <c r="S557" s="295"/>
      <c r="T557" s="295"/>
      <c r="U557" s="295"/>
      <c r="V557" s="295"/>
      <c r="W557" s="295"/>
      <c r="X557" s="295"/>
      <c r="Y557" s="423"/>
      <c r="Z557" s="772"/>
      <c r="AA557" s="409"/>
      <c r="AB557" s="409"/>
      <c r="AC557" s="409"/>
      <c r="AD557" s="409"/>
      <c r="AE557" s="409"/>
      <c r="AF557" s="414"/>
      <c r="AG557" s="414"/>
      <c r="AH557" s="414"/>
      <c r="AI557" s="414"/>
      <c r="AJ557" s="414"/>
      <c r="AK557" s="414"/>
      <c r="AL557" s="414"/>
      <c r="AM557" s="296">
        <f>SUM(Y557:AL557)</f>
        <v>0</v>
      </c>
    </row>
    <row r="558" spans="1:39">
      <c r="A558" s="527"/>
      <c r="B558" s="907" t="s">
        <v>779</v>
      </c>
      <c r="C558" s="291" t="s">
        <v>163</v>
      </c>
      <c r="D558" s="784"/>
      <c r="E558" s="785"/>
      <c r="F558" s="785"/>
      <c r="G558" s="785"/>
      <c r="H558" s="785"/>
      <c r="I558" s="785"/>
      <c r="J558" s="785"/>
      <c r="K558" s="785"/>
      <c r="L558" s="785"/>
      <c r="M558" s="785"/>
      <c r="N558" s="919">
        <f>N557</f>
        <v>12</v>
      </c>
      <c r="O558" s="785"/>
      <c r="P558" s="785"/>
      <c r="Q558" s="785"/>
      <c r="R558" s="785"/>
      <c r="S558" s="785"/>
      <c r="T558" s="785"/>
      <c r="U558" s="785"/>
      <c r="V558" s="785"/>
      <c r="W558" s="785"/>
      <c r="X558" s="785"/>
      <c r="Y558" s="410">
        <f>Y557</f>
        <v>0</v>
      </c>
      <c r="Z558" s="410">
        <f t="shared" ref="Z558" si="1624">Z557</f>
        <v>0</v>
      </c>
      <c r="AA558" s="410">
        <f t="shared" ref="AA558" si="1625">AA557</f>
        <v>0</v>
      </c>
      <c r="AB558" s="410">
        <f t="shared" ref="AB558" si="1626">AB557</f>
        <v>0</v>
      </c>
      <c r="AC558" s="410">
        <f t="shared" ref="AC558" si="1627">AC557</f>
        <v>0</v>
      </c>
      <c r="AD558" s="410">
        <f t="shared" ref="AD558" si="1628">AD557</f>
        <v>0</v>
      </c>
      <c r="AE558" s="410">
        <f t="shared" ref="AE558" si="1629">AE557</f>
        <v>0</v>
      </c>
      <c r="AF558" s="410">
        <f t="shared" ref="AF558" si="1630">AF557</f>
        <v>0</v>
      </c>
      <c r="AG558" s="410">
        <f t="shared" ref="AG558" si="1631">AG557</f>
        <v>0</v>
      </c>
      <c r="AH558" s="410">
        <f t="shared" ref="AH558" si="1632">AH557</f>
        <v>0</v>
      </c>
      <c r="AI558" s="410">
        <f t="shared" ref="AI558" si="1633">AI557</f>
        <v>0</v>
      </c>
      <c r="AJ558" s="410">
        <f t="shared" ref="AJ558" si="1634">AJ557</f>
        <v>0</v>
      </c>
      <c r="AK558" s="410">
        <f t="shared" ref="AK558" si="1635">AK557</f>
        <v>0</v>
      </c>
      <c r="AL558" s="410">
        <f t="shared" ref="AL558" si="1636">AL557</f>
        <v>0</v>
      </c>
      <c r="AM558" s="306"/>
    </row>
    <row r="559" spans="1:39" outlineLevel="1">
      <c r="A559" s="527"/>
      <c r="B559" s="425"/>
      <c r="C559" s="291"/>
      <c r="D559" s="758"/>
      <c r="E559" s="758"/>
      <c r="F559" s="758"/>
      <c r="G559" s="758"/>
      <c r="H559" s="758"/>
      <c r="I559" s="758"/>
      <c r="J559" s="758"/>
      <c r="K559" s="758"/>
      <c r="L559" s="758"/>
      <c r="M559" s="758"/>
      <c r="N559" s="758"/>
      <c r="O559" s="758"/>
      <c r="P559" s="758"/>
      <c r="Q559" s="758"/>
      <c r="R559" s="758"/>
      <c r="S559" s="758"/>
      <c r="T559" s="758"/>
      <c r="U559" s="758"/>
      <c r="V559" s="758"/>
      <c r="W559" s="758"/>
      <c r="X559" s="758"/>
      <c r="Y559" s="411"/>
      <c r="Z559" s="422"/>
      <c r="AA559" s="422"/>
      <c r="AB559" s="422"/>
      <c r="AC559" s="422"/>
      <c r="AD559" s="422"/>
      <c r="AE559" s="422"/>
      <c r="AF559" s="422"/>
      <c r="AG559" s="422"/>
      <c r="AH559" s="422"/>
      <c r="AI559" s="422"/>
      <c r="AJ559" s="422"/>
      <c r="AK559" s="422"/>
      <c r="AL559" s="422"/>
      <c r="AM559" s="306"/>
    </row>
    <row r="560" spans="1:39" ht="45" outlineLevel="1">
      <c r="A560" s="527">
        <v>45</v>
      </c>
      <c r="B560" s="425" t="s">
        <v>137</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3"/>
      <c r="Z560" s="409"/>
      <c r="AA560" s="409"/>
      <c r="AB560" s="409"/>
      <c r="AC560" s="409"/>
      <c r="AD560" s="409"/>
      <c r="AE560" s="409"/>
      <c r="AF560" s="414"/>
      <c r="AG560" s="414"/>
      <c r="AH560" s="414"/>
      <c r="AI560" s="414"/>
      <c r="AJ560" s="414"/>
      <c r="AK560" s="414"/>
      <c r="AL560" s="414"/>
      <c r="AM560" s="296">
        <f>SUM(Y560:AL560)</f>
        <v>0</v>
      </c>
    </row>
    <row r="561" spans="1:39" outlineLevel="1">
      <c r="A561" s="527"/>
      <c r="B561" s="428"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0">
        <f>Y560</f>
        <v>0</v>
      </c>
      <c r="Z561" s="410">
        <f t="shared" ref="Z561" si="1637">Z560</f>
        <v>0</v>
      </c>
      <c r="AA561" s="410">
        <f t="shared" ref="AA561" si="1638">AA560</f>
        <v>0</v>
      </c>
      <c r="AB561" s="410">
        <f t="shared" ref="AB561" si="1639">AB560</f>
        <v>0</v>
      </c>
      <c r="AC561" s="410">
        <f t="shared" ref="AC561" si="1640">AC560</f>
        <v>0</v>
      </c>
      <c r="AD561" s="410">
        <f t="shared" ref="AD561" si="1641">AD560</f>
        <v>0</v>
      </c>
      <c r="AE561" s="410">
        <f t="shared" ref="AE561" si="1642">AE560</f>
        <v>0</v>
      </c>
      <c r="AF561" s="410">
        <f t="shared" ref="AF561" si="1643">AF560</f>
        <v>0</v>
      </c>
      <c r="AG561" s="410">
        <f t="shared" ref="AG561" si="1644">AG560</f>
        <v>0</v>
      </c>
      <c r="AH561" s="410">
        <f t="shared" ref="AH561" si="1645">AH560</f>
        <v>0</v>
      </c>
      <c r="AI561" s="410">
        <f t="shared" ref="AI561" si="1646">AI560</f>
        <v>0</v>
      </c>
      <c r="AJ561" s="410">
        <f t="shared" ref="AJ561" si="1647">AJ560</f>
        <v>0</v>
      </c>
      <c r="AK561" s="410">
        <f t="shared" ref="AK561" si="1648">AK560</f>
        <v>0</v>
      </c>
      <c r="AL561" s="410">
        <f t="shared" ref="AL561" si="1649">AL560</f>
        <v>0</v>
      </c>
      <c r="AM561" s="306"/>
    </row>
    <row r="562" spans="1:39" outlineLevel="1">
      <c r="A562" s="527"/>
      <c r="B562" s="425"/>
      <c r="C562" s="291"/>
      <c r="D562" s="758"/>
      <c r="E562" s="758"/>
      <c r="F562" s="758"/>
      <c r="G562" s="758"/>
      <c r="H562" s="758"/>
      <c r="I562" s="758"/>
      <c r="J562" s="758"/>
      <c r="K562" s="758"/>
      <c r="L562" s="758"/>
      <c r="M562" s="758"/>
      <c r="N562" s="758"/>
      <c r="O562" s="758"/>
      <c r="P562" s="758"/>
      <c r="Q562" s="758"/>
      <c r="R562" s="758"/>
      <c r="S562" s="758"/>
      <c r="T562" s="758"/>
      <c r="U562" s="758"/>
      <c r="V562" s="758"/>
      <c r="W562" s="758"/>
      <c r="X562" s="758"/>
      <c r="Y562" s="411"/>
      <c r="Z562" s="422"/>
      <c r="AA562" s="422"/>
      <c r="AB562" s="422"/>
      <c r="AC562" s="422"/>
      <c r="AD562" s="422"/>
      <c r="AE562" s="422"/>
      <c r="AF562" s="422"/>
      <c r="AG562" s="422"/>
      <c r="AH562" s="422"/>
      <c r="AI562" s="422"/>
      <c r="AJ562" s="422"/>
      <c r="AK562" s="422"/>
      <c r="AL562" s="422"/>
      <c r="AM562" s="306"/>
    </row>
    <row r="563" spans="1:39" ht="45" outlineLevel="1">
      <c r="A563" s="527">
        <v>46</v>
      </c>
      <c r="B563" s="425" t="s">
        <v>138</v>
      </c>
      <c r="C563" s="291" t="s">
        <v>25</v>
      </c>
      <c r="D563" s="295"/>
      <c r="E563" s="295"/>
      <c r="F563" s="295"/>
      <c r="G563" s="295"/>
      <c r="H563" s="295"/>
      <c r="I563" s="295"/>
      <c r="J563" s="295"/>
      <c r="K563" s="295"/>
      <c r="L563" s="295"/>
      <c r="M563" s="295"/>
      <c r="N563" s="295">
        <v>12</v>
      </c>
      <c r="O563" s="295"/>
      <c r="P563" s="295"/>
      <c r="Q563" s="295"/>
      <c r="R563" s="295"/>
      <c r="S563" s="295"/>
      <c r="T563" s="295"/>
      <c r="U563" s="295"/>
      <c r="V563" s="295"/>
      <c r="W563" s="295"/>
      <c r="X563" s="295"/>
      <c r="Y563" s="423"/>
      <c r="Z563" s="409"/>
      <c r="AA563" s="409"/>
      <c r="AB563" s="409"/>
      <c r="AC563" s="409"/>
      <c r="AD563" s="409"/>
      <c r="AE563" s="409"/>
      <c r="AF563" s="414"/>
      <c r="AG563" s="414"/>
      <c r="AH563" s="414"/>
      <c r="AI563" s="414"/>
      <c r="AJ563" s="414"/>
      <c r="AK563" s="414"/>
      <c r="AL563" s="414"/>
      <c r="AM563" s="296">
        <f>SUM(Y563:AL563)</f>
        <v>0</v>
      </c>
    </row>
    <row r="564" spans="1:39" outlineLevel="1">
      <c r="A564" s="527"/>
      <c r="B564" s="428" t="s">
        <v>308</v>
      </c>
      <c r="C564" s="291" t="s">
        <v>163</v>
      </c>
      <c r="D564" s="295"/>
      <c r="E564" s="295"/>
      <c r="F564" s="295"/>
      <c r="G564" s="295"/>
      <c r="H564" s="295"/>
      <c r="I564" s="295"/>
      <c r="J564" s="295"/>
      <c r="K564" s="295"/>
      <c r="L564" s="295"/>
      <c r="M564" s="295"/>
      <c r="N564" s="295">
        <f>N563</f>
        <v>12</v>
      </c>
      <c r="O564" s="295"/>
      <c r="P564" s="295"/>
      <c r="Q564" s="295"/>
      <c r="R564" s="295"/>
      <c r="S564" s="295"/>
      <c r="T564" s="295"/>
      <c r="U564" s="295"/>
      <c r="V564" s="295"/>
      <c r="W564" s="295"/>
      <c r="X564" s="295"/>
      <c r="Y564" s="410">
        <f>Y563</f>
        <v>0</v>
      </c>
      <c r="Z564" s="410">
        <f t="shared" ref="Z564" si="1650">Z563</f>
        <v>0</v>
      </c>
      <c r="AA564" s="410">
        <f t="shared" ref="AA564" si="1651">AA563</f>
        <v>0</v>
      </c>
      <c r="AB564" s="410">
        <f t="shared" ref="AB564" si="1652">AB563</f>
        <v>0</v>
      </c>
      <c r="AC564" s="410">
        <f t="shared" ref="AC564" si="1653">AC563</f>
        <v>0</v>
      </c>
      <c r="AD564" s="410">
        <f t="shared" ref="AD564" si="1654">AD563</f>
        <v>0</v>
      </c>
      <c r="AE564" s="410">
        <f t="shared" ref="AE564" si="1655">AE563</f>
        <v>0</v>
      </c>
      <c r="AF564" s="410">
        <f t="shared" ref="AF564" si="1656">AF563</f>
        <v>0</v>
      </c>
      <c r="AG564" s="410">
        <f t="shared" ref="AG564" si="1657">AG563</f>
        <v>0</v>
      </c>
      <c r="AH564" s="410">
        <f t="shared" ref="AH564" si="1658">AH563</f>
        <v>0</v>
      </c>
      <c r="AI564" s="410">
        <f t="shared" ref="AI564" si="1659">AI563</f>
        <v>0</v>
      </c>
      <c r="AJ564" s="410">
        <f t="shared" ref="AJ564" si="1660">AJ563</f>
        <v>0</v>
      </c>
      <c r="AK564" s="410">
        <f t="shared" ref="AK564" si="1661">AK563</f>
        <v>0</v>
      </c>
      <c r="AL564" s="410">
        <f t="shared" ref="AL564" si="1662">AL563</f>
        <v>0</v>
      </c>
      <c r="AM564" s="306"/>
    </row>
    <row r="565" spans="1:39" outlineLevel="1">
      <c r="A565" s="527"/>
      <c r="B565" s="425"/>
      <c r="C565" s="291"/>
      <c r="D565" s="758"/>
      <c r="E565" s="758"/>
      <c r="F565" s="758"/>
      <c r="G565" s="758"/>
      <c r="H565" s="758"/>
      <c r="I565" s="758"/>
      <c r="J565" s="758"/>
      <c r="K565" s="758"/>
      <c r="L565" s="758"/>
      <c r="M565" s="758"/>
      <c r="N565" s="758"/>
      <c r="O565" s="758"/>
      <c r="P565" s="758"/>
      <c r="Q565" s="758"/>
      <c r="R565" s="758"/>
      <c r="S565" s="758"/>
      <c r="T565" s="758"/>
      <c r="U565" s="758"/>
      <c r="V565" s="758"/>
      <c r="W565" s="758"/>
      <c r="X565" s="758"/>
      <c r="Y565" s="411"/>
      <c r="Z565" s="422"/>
      <c r="AA565" s="422"/>
      <c r="AB565" s="422"/>
      <c r="AC565" s="422"/>
      <c r="AD565" s="422"/>
      <c r="AE565" s="422"/>
      <c r="AF565" s="422"/>
      <c r="AG565" s="422"/>
      <c r="AH565" s="422"/>
      <c r="AI565" s="422"/>
      <c r="AJ565" s="422"/>
      <c r="AK565" s="422"/>
      <c r="AL565" s="422"/>
      <c r="AM565" s="306"/>
    </row>
    <row r="566" spans="1:39" ht="45" outlineLevel="1">
      <c r="A566" s="527">
        <v>47</v>
      </c>
      <c r="B566" s="425" t="s">
        <v>139</v>
      </c>
      <c r="C566" s="291" t="s">
        <v>25</v>
      </c>
      <c r="D566" s="295"/>
      <c r="E566" s="295"/>
      <c r="F566" s="295"/>
      <c r="G566" s="295"/>
      <c r="H566" s="295"/>
      <c r="I566" s="295"/>
      <c r="J566" s="295"/>
      <c r="K566" s="295"/>
      <c r="L566" s="295"/>
      <c r="M566" s="295"/>
      <c r="N566" s="295">
        <v>12</v>
      </c>
      <c r="O566" s="295"/>
      <c r="P566" s="295"/>
      <c r="Q566" s="295"/>
      <c r="R566" s="295"/>
      <c r="S566" s="295"/>
      <c r="T566" s="295"/>
      <c r="U566" s="295"/>
      <c r="V566" s="295"/>
      <c r="W566" s="295"/>
      <c r="X566" s="295"/>
      <c r="Y566" s="423"/>
      <c r="Z566" s="409"/>
      <c r="AA566" s="409"/>
      <c r="AB566" s="409"/>
      <c r="AC566" s="409"/>
      <c r="AD566" s="409"/>
      <c r="AE566" s="409"/>
      <c r="AF566" s="414"/>
      <c r="AG566" s="414"/>
      <c r="AH566" s="414"/>
      <c r="AI566" s="414"/>
      <c r="AJ566" s="414"/>
      <c r="AK566" s="414"/>
      <c r="AL566" s="414"/>
      <c r="AM566" s="296">
        <f>SUM(Y566:AL566)</f>
        <v>0</v>
      </c>
    </row>
    <row r="567" spans="1:39" outlineLevel="1">
      <c r="A567" s="527"/>
      <c r="B567" s="428" t="s">
        <v>308</v>
      </c>
      <c r="C567" s="291" t="s">
        <v>163</v>
      </c>
      <c r="D567" s="295"/>
      <c r="E567" s="295"/>
      <c r="F567" s="295"/>
      <c r="G567" s="295"/>
      <c r="H567" s="295"/>
      <c r="I567" s="295"/>
      <c r="J567" s="295"/>
      <c r="K567" s="295"/>
      <c r="L567" s="295"/>
      <c r="M567" s="295"/>
      <c r="N567" s="295">
        <f>N566</f>
        <v>12</v>
      </c>
      <c r="O567" s="295"/>
      <c r="P567" s="295"/>
      <c r="Q567" s="295"/>
      <c r="R567" s="295"/>
      <c r="S567" s="295"/>
      <c r="T567" s="295"/>
      <c r="U567" s="295"/>
      <c r="V567" s="295"/>
      <c r="W567" s="295"/>
      <c r="X567" s="295"/>
      <c r="Y567" s="410">
        <f>Y566</f>
        <v>0</v>
      </c>
      <c r="Z567" s="410">
        <f t="shared" ref="Z567" si="1663">Z566</f>
        <v>0</v>
      </c>
      <c r="AA567" s="410">
        <f t="shared" ref="AA567" si="1664">AA566</f>
        <v>0</v>
      </c>
      <c r="AB567" s="410">
        <f t="shared" ref="AB567" si="1665">AB566</f>
        <v>0</v>
      </c>
      <c r="AC567" s="410">
        <f t="shared" ref="AC567" si="1666">AC566</f>
        <v>0</v>
      </c>
      <c r="AD567" s="410">
        <f t="shared" ref="AD567" si="1667">AD566</f>
        <v>0</v>
      </c>
      <c r="AE567" s="410">
        <f t="shared" ref="AE567" si="1668">AE566</f>
        <v>0</v>
      </c>
      <c r="AF567" s="410">
        <f t="shared" ref="AF567" si="1669">AF566</f>
        <v>0</v>
      </c>
      <c r="AG567" s="410">
        <f t="shared" ref="AG567" si="1670">AG566</f>
        <v>0</v>
      </c>
      <c r="AH567" s="410">
        <f t="shared" ref="AH567" si="1671">AH566</f>
        <v>0</v>
      </c>
      <c r="AI567" s="410">
        <f t="shared" ref="AI567" si="1672">AI566</f>
        <v>0</v>
      </c>
      <c r="AJ567" s="410">
        <f t="shared" ref="AJ567" si="1673">AJ566</f>
        <v>0</v>
      </c>
      <c r="AK567" s="410">
        <f t="shared" ref="AK567" si="1674">AK566</f>
        <v>0</v>
      </c>
      <c r="AL567" s="410">
        <f t="shared" ref="AL567" si="1675">AL566</f>
        <v>0</v>
      </c>
      <c r="AM567" s="306"/>
    </row>
    <row r="568" spans="1:39" outlineLevel="1">
      <c r="A568" s="527"/>
      <c r="B568" s="425"/>
      <c r="C568" s="291"/>
      <c r="D568" s="758"/>
      <c r="E568" s="758"/>
      <c r="F568" s="758"/>
      <c r="G568" s="758"/>
      <c r="H568" s="758"/>
      <c r="I568" s="758"/>
      <c r="J568" s="758"/>
      <c r="K568" s="758"/>
      <c r="L568" s="758"/>
      <c r="M568" s="758"/>
      <c r="N568" s="758"/>
      <c r="O568" s="758"/>
      <c r="P568" s="758"/>
      <c r="Q568" s="758"/>
      <c r="R568" s="758"/>
      <c r="S568" s="758"/>
      <c r="T568" s="758"/>
      <c r="U568" s="758"/>
      <c r="V568" s="758"/>
      <c r="W568" s="758"/>
      <c r="X568" s="758"/>
      <c r="Y568" s="411"/>
      <c r="Z568" s="422"/>
      <c r="AA568" s="422"/>
      <c r="AB568" s="422"/>
      <c r="AC568" s="422"/>
      <c r="AD568" s="422"/>
      <c r="AE568" s="422"/>
      <c r="AF568" s="422"/>
      <c r="AG568" s="422"/>
      <c r="AH568" s="422"/>
      <c r="AI568" s="422"/>
      <c r="AJ568" s="422"/>
      <c r="AK568" s="422"/>
      <c r="AL568" s="422"/>
      <c r="AM568" s="306"/>
    </row>
    <row r="569" spans="1:39" ht="45" outlineLevel="1">
      <c r="A569" s="527">
        <v>48</v>
      </c>
      <c r="B569" s="425" t="s">
        <v>140</v>
      </c>
      <c r="C569" s="291" t="s">
        <v>25</v>
      </c>
      <c r="D569" s="295"/>
      <c r="E569" s="295"/>
      <c r="F569" s="295"/>
      <c r="G569" s="295"/>
      <c r="H569" s="295"/>
      <c r="I569" s="295"/>
      <c r="J569" s="295"/>
      <c r="K569" s="295"/>
      <c r="L569" s="295"/>
      <c r="M569" s="295"/>
      <c r="N569" s="295">
        <v>12</v>
      </c>
      <c r="O569" s="295"/>
      <c r="P569" s="295"/>
      <c r="Q569" s="295"/>
      <c r="R569" s="295"/>
      <c r="S569" s="295"/>
      <c r="T569" s="295"/>
      <c r="U569" s="295"/>
      <c r="V569" s="295"/>
      <c r="W569" s="295"/>
      <c r="X569" s="295"/>
      <c r="Y569" s="423"/>
      <c r="Z569" s="409"/>
      <c r="AA569" s="409"/>
      <c r="AB569" s="409"/>
      <c r="AC569" s="409"/>
      <c r="AD569" s="409"/>
      <c r="AE569" s="409"/>
      <c r="AF569" s="414"/>
      <c r="AG569" s="414"/>
      <c r="AH569" s="414"/>
      <c r="AI569" s="414"/>
      <c r="AJ569" s="414"/>
      <c r="AK569" s="414"/>
      <c r="AL569" s="414"/>
      <c r="AM569" s="296">
        <f>SUM(Y569:AL569)</f>
        <v>0</v>
      </c>
    </row>
    <row r="570" spans="1:39" outlineLevel="1">
      <c r="A570" s="527"/>
      <c r="B570" s="428" t="s">
        <v>308</v>
      </c>
      <c r="C570" s="291" t="s">
        <v>163</v>
      </c>
      <c r="D570" s="295"/>
      <c r="E570" s="295"/>
      <c r="F570" s="295"/>
      <c r="G570" s="295"/>
      <c r="H570" s="295"/>
      <c r="I570" s="295"/>
      <c r="J570" s="295"/>
      <c r="K570" s="295"/>
      <c r="L570" s="295"/>
      <c r="M570" s="295"/>
      <c r="N570" s="295">
        <f>N569</f>
        <v>12</v>
      </c>
      <c r="O570" s="295"/>
      <c r="P570" s="295"/>
      <c r="Q570" s="295"/>
      <c r="R570" s="295"/>
      <c r="S570" s="295"/>
      <c r="T570" s="295"/>
      <c r="U570" s="295"/>
      <c r="V570" s="295"/>
      <c r="W570" s="295"/>
      <c r="X570" s="295"/>
      <c r="Y570" s="410">
        <f>Y569</f>
        <v>0</v>
      </c>
      <c r="Z570" s="410">
        <f t="shared" ref="Z570" si="1676">Z569</f>
        <v>0</v>
      </c>
      <c r="AA570" s="410">
        <f t="shared" ref="AA570" si="1677">AA569</f>
        <v>0</v>
      </c>
      <c r="AB570" s="410">
        <f t="shared" ref="AB570" si="1678">AB569</f>
        <v>0</v>
      </c>
      <c r="AC570" s="410">
        <f t="shared" ref="AC570" si="1679">AC569</f>
        <v>0</v>
      </c>
      <c r="AD570" s="410">
        <f t="shared" ref="AD570" si="1680">AD569</f>
        <v>0</v>
      </c>
      <c r="AE570" s="410">
        <f t="shared" ref="AE570" si="1681">AE569</f>
        <v>0</v>
      </c>
      <c r="AF570" s="410">
        <f t="shared" ref="AF570" si="1682">AF569</f>
        <v>0</v>
      </c>
      <c r="AG570" s="410">
        <f t="shared" ref="AG570" si="1683">AG569</f>
        <v>0</v>
      </c>
      <c r="AH570" s="410">
        <f t="shared" ref="AH570" si="1684">AH569</f>
        <v>0</v>
      </c>
      <c r="AI570" s="410">
        <f t="shared" ref="AI570" si="1685">AI569</f>
        <v>0</v>
      </c>
      <c r="AJ570" s="410">
        <f t="shared" ref="AJ570" si="1686">AJ569</f>
        <v>0</v>
      </c>
      <c r="AK570" s="410">
        <f t="shared" ref="AK570" si="1687">AK569</f>
        <v>0</v>
      </c>
      <c r="AL570" s="410">
        <f t="shared" ref="AL570" si="1688">AL569</f>
        <v>0</v>
      </c>
      <c r="AM570" s="306"/>
    </row>
    <row r="571" spans="1:39" outlineLevel="1">
      <c r="A571" s="527"/>
      <c r="B571" s="425"/>
      <c r="C571" s="291"/>
      <c r="D571" s="758"/>
      <c r="E571" s="758"/>
      <c r="F571" s="758"/>
      <c r="G571" s="758"/>
      <c r="H571" s="758"/>
      <c r="I571" s="758"/>
      <c r="J571" s="758"/>
      <c r="K571" s="758"/>
      <c r="L571" s="758"/>
      <c r="M571" s="758"/>
      <c r="N571" s="758"/>
      <c r="O571" s="758"/>
      <c r="P571" s="758"/>
      <c r="Q571" s="758"/>
      <c r="R571" s="758"/>
      <c r="S571" s="758"/>
      <c r="T571" s="758"/>
      <c r="U571" s="758"/>
      <c r="V571" s="758"/>
      <c r="W571" s="758"/>
      <c r="X571" s="758"/>
      <c r="Y571" s="411"/>
      <c r="Z571" s="422"/>
      <c r="AA571" s="422"/>
      <c r="AB571" s="422"/>
      <c r="AC571" s="422"/>
      <c r="AD571" s="422"/>
      <c r="AE571" s="422"/>
      <c r="AF571" s="422"/>
      <c r="AG571" s="422"/>
      <c r="AH571" s="422"/>
      <c r="AI571" s="422"/>
      <c r="AJ571" s="422"/>
      <c r="AK571" s="422"/>
      <c r="AL571" s="422"/>
      <c r="AM571" s="306"/>
    </row>
    <row r="572" spans="1:39" ht="45" outlineLevel="1">
      <c r="A572" s="527">
        <v>49</v>
      </c>
      <c r="B572" s="425" t="s">
        <v>141</v>
      </c>
      <c r="C572" s="291" t="s">
        <v>25</v>
      </c>
      <c r="D572" s="295"/>
      <c r="E572" s="295"/>
      <c r="F572" s="295"/>
      <c r="G572" s="295"/>
      <c r="H572" s="295"/>
      <c r="I572" s="295"/>
      <c r="J572" s="295"/>
      <c r="K572" s="295"/>
      <c r="L572" s="295"/>
      <c r="M572" s="295"/>
      <c r="N572" s="295">
        <v>12</v>
      </c>
      <c r="O572" s="295"/>
      <c r="P572" s="295"/>
      <c r="Q572" s="295"/>
      <c r="R572" s="295"/>
      <c r="S572" s="295"/>
      <c r="T572" s="295"/>
      <c r="U572" s="295"/>
      <c r="V572" s="295"/>
      <c r="W572" s="295"/>
      <c r="X572" s="295"/>
      <c r="Y572" s="423"/>
      <c r="Z572" s="409"/>
      <c r="AA572" s="409"/>
      <c r="AB572" s="409"/>
      <c r="AC572" s="409"/>
      <c r="AD572" s="409"/>
      <c r="AE572" s="409"/>
      <c r="AF572" s="414"/>
      <c r="AG572" s="414"/>
      <c r="AH572" s="414"/>
      <c r="AI572" s="414"/>
      <c r="AJ572" s="414"/>
      <c r="AK572" s="414"/>
      <c r="AL572" s="414"/>
      <c r="AM572" s="296">
        <f>SUM(Y572:AL572)</f>
        <v>0</v>
      </c>
    </row>
    <row r="573" spans="1:39" outlineLevel="1">
      <c r="A573" s="527"/>
      <c r="B573" s="428" t="s">
        <v>308</v>
      </c>
      <c r="C573" s="291" t="s">
        <v>163</v>
      </c>
      <c r="D573" s="295"/>
      <c r="E573" s="295"/>
      <c r="F573" s="295"/>
      <c r="G573" s="295"/>
      <c r="H573" s="295"/>
      <c r="I573" s="295"/>
      <c r="J573" s="295"/>
      <c r="K573" s="295"/>
      <c r="L573" s="295"/>
      <c r="M573" s="295"/>
      <c r="N573" s="295">
        <f>N572</f>
        <v>12</v>
      </c>
      <c r="O573" s="295"/>
      <c r="P573" s="295"/>
      <c r="Q573" s="295"/>
      <c r="R573" s="295"/>
      <c r="S573" s="295"/>
      <c r="T573" s="295"/>
      <c r="U573" s="295"/>
      <c r="V573" s="295"/>
      <c r="W573" s="295"/>
      <c r="X573" s="295"/>
      <c r="Y573" s="410">
        <f>Y572</f>
        <v>0</v>
      </c>
      <c r="Z573" s="410">
        <f t="shared" ref="Z573" si="1689">Z572</f>
        <v>0</v>
      </c>
      <c r="AA573" s="410">
        <f t="shared" ref="AA573" si="1690">AA572</f>
        <v>0</v>
      </c>
      <c r="AB573" s="410">
        <f t="shared" ref="AB573" si="1691">AB572</f>
        <v>0</v>
      </c>
      <c r="AC573" s="410">
        <f t="shared" ref="AC573" si="1692">AC572</f>
        <v>0</v>
      </c>
      <c r="AD573" s="410">
        <f t="shared" ref="AD573" si="1693">AD572</f>
        <v>0</v>
      </c>
      <c r="AE573" s="410">
        <f t="shared" ref="AE573" si="1694">AE572</f>
        <v>0</v>
      </c>
      <c r="AF573" s="410">
        <f t="shared" ref="AF573" si="1695">AF572</f>
        <v>0</v>
      </c>
      <c r="AG573" s="410">
        <f t="shared" ref="AG573" si="1696">AG572</f>
        <v>0</v>
      </c>
      <c r="AH573" s="410">
        <f t="shared" ref="AH573" si="1697">AH572</f>
        <v>0</v>
      </c>
      <c r="AI573" s="410">
        <f t="shared" ref="AI573" si="1698">AI572</f>
        <v>0</v>
      </c>
      <c r="AJ573" s="410">
        <f t="shared" ref="AJ573" si="1699">AJ572</f>
        <v>0</v>
      </c>
      <c r="AK573" s="410">
        <f t="shared" ref="AK573" si="1700">AK572</f>
        <v>0</v>
      </c>
      <c r="AL573" s="410">
        <f t="shared" ref="AL573" si="1701">AL572</f>
        <v>0</v>
      </c>
      <c r="AM573" s="306"/>
    </row>
    <row r="574" spans="1:39" s="930" customFormat="1">
      <c r="A574" s="933"/>
      <c r="B574" s="931"/>
      <c r="C574" s="917"/>
      <c r="D574" s="758"/>
      <c r="E574" s="758"/>
      <c r="F574" s="758"/>
      <c r="G574" s="758"/>
      <c r="H574" s="758"/>
      <c r="I574" s="758"/>
      <c r="J574" s="758"/>
      <c r="K574" s="758"/>
      <c r="L574" s="758"/>
      <c r="M574" s="758"/>
      <c r="N574" s="758"/>
      <c r="O574" s="758"/>
      <c r="P574" s="758"/>
      <c r="Q574" s="758"/>
      <c r="R574" s="758"/>
      <c r="S574" s="758"/>
      <c r="T574" s="758"/>
      <c r="U574" s="758"/>
      <c r="V574" s="758"/>
      <c r="W574" s="758"/>
      <c r="X574" s="758"/>
      <c r="Y574" s="926"/>
      <c r="Z574" s="928"/>
      <c r="AA574" s="928"/>
      <c r="AB574" s="928"/>
      <c r="AC574" s="928"/>
      <c r="AD574" s="928"/>
      <c r="AE574" s="928"/>
      <c r="AF574" s="928"/>
      <c r="AG574" s="928"/>
      <c r="AH574" s="928"/>
      <c r="AI574" s="928"/>
      <c r="AJ574" s="928"/>
      <c r="AK574" s="928"/>
      <c r="AL574" s="928"/>
      <c r="AM574" s="921"/>
    </row>
    <row r="575" spans="1:39" s="930" customFormat="1" ht="60">
      <c r="A575" s="933"/>
      <c r="B575" s="931" t="s">
        <v>853</v>
      </c>
      <c r="C575" s="917" t="s">
        <v>25</v>
      </c>
      <c r="D575" s="919">
        <f>+'7.  Persistence Report'!AW207</f>
        <v>247986</v>
      </c>
      <c r="E575" s="919">
        <f>+'7.  Persistence Report'!AX207</f>
        <v>247986</v>
      </c>
      <c r="F575" s="919">
        <f>+'7.  Persistence Report'!AY207</f>
        <v>247986</v>
      </c>
      <c r="G575" s="919">
        <f>+'7.  Persistence Report'!AZ207</f>
        <v>247986</v>
      </c>
      <c r="H575" s="919">
        <f>+'7.  Persistence Report'!BA207</f>
        <v>247986</v>
      </c>
      <c r="I575" s="919">
        <f>+'7.  Persistence Report'!BB207</f>
        <v>247986</v>
      </c>
      <c r="J575" s="919">
        <f>+'7.  Persistence Report'!BC207</f>
        <v>247986</v>
      </c>
      <c r="K575" s="919">
        <f>+'7.  Persistence Report'!BD207</f>
        <v>247986</v>
      </c>
      <c r="L575" s="919">
        <f>+'7.  Persistence Report'!BE207</f>
        <v>247986</v>
      </c>
      <c r="M575" s="919">
        <f>+'7.  Persistence Report'!BF207</f>
        <v>247986</v>
      </c>
      <c r="N575" s="919">
        <v>12</v>
      </c>
      <c r="O575" s="919">
        <f>+'7.  Persistence Report'!R207</f>
        <v>45</v>
      </c>
      <c r="P575" s="919">
        <f>+'7.  Persistence Report'!S207</f>
        <v>45</v>
      </c>
      <c r="Q575" s="919">
        <f>+'7.  Persistence Report'!T207</f>
        <v>45</v>
      </c>
      <c r="R575" s="919">
        <f>+'7.  Persistence Report'!U207</f>
        <v>45</v>
      </c>
      <c r="S575" s="919">
        <f>+'7.  Persistence Report'!V207</f>
        <v>45</v>
      </c>
      <c r="T575" s="919">
        <f>+'7.  Persistence Report'!W207</f>
        <v>45</v>
      </c>
      <c r="U575" s="919">
        <f>+'7.  Persistence Report'!X207</f>
        <v>45</v>
      </c>
      <c r="V575" s="919">
        <f>+'7.  Persistence Report'!Y207</f>
        <v>45</v>
      </c>
      <c r="W575" s="919">
        <f>+'7.  Persistence Report'!Z207</f>
        <v>45</v>
      </c>
      <c r="X575" s="919">
        <f>+'7.  Persistence Report'!AA207</f>
        <v>45</v>
      </c>
      <c r="Y575" s="929"/>
      <c r="Z575" s="772">
        <v>1</v>
      </c>
      <c r="AA575" s="924"/>
      <c r="AB575" s="924"/>
      <c r="AC575" s="924"/>
      <c r="AD575" s="924"/>
      <c r="AE575" s="924"/>
      <c r="AF575" s="927"/>
      <c r="AG575" s="927"/>
      <c r="AH575" s="927"/>
      <c r="AI575" s="927"/>
      <c r="AJ575" s="927"/>
      <c r="AK575" s="927"/>
      <c r="AL575" s="927"/>
      <c r="AM575" s="920">
        <f>SUM(Y575:AL575)</f>
        <v>1</v>
      </c>
    </row>
    <row r="576" spans="1:39" s="930" customFormat="1">
      <c r="A576" s="933"/>
      <c r="B576" s="932" t="s">
        <v>779</v>
      </c>
      <c r="C576" s="917" t="s">
        <v>163</v>
      </c>
      <c r="D576" s="784"/>
      <c r="E576" s="784"/>
      <c r="F576" s="784"/>
      <c r="G576" s="784"/>
      <c r="H576" s="784"/>
      <c r="I576" s="784"/>
      <c r="J576" s="784"/>
      <c r="K576" s="784"/>
      <c r="L576" s="784"/>
      <c r="M576" s="784"/>
      <c r="N576" s="919"/>
      <c r="O576" s="919"/>
      <c r="P576" s="919"/>
      <c r="Q576" s="919"/>
      <c r="R576" s="919"/>
      <c r="S576" s="919"/>
      <c r="T576" s="919"/>
      <c r="U576" s="919"/>
      <c r="V576" s="919"/>
      <c r="W576" s="919"/>
      <c r="X576" s="919"/>
      <c r="Y576" s="925">
        <f>Y575</f>
        <v>0</v>
      </c>
      <c r="Z576" s="925">
        <f t="shared" ref="Z576:AL576" si="1702">Z575</f>
        <v>1</v>
      </c>
      <c r="AA576" s="925">
        <f t="shared" si="1702"/>
        <v>0</v>
      </c>
      <c r="AB576" s="925">
        <f t="shared" si="1702"/>
        <v>0</v>
      </c>
      <c r="AC576" s="925">
        <f t="shared" si="1702"/>
        <v>0</v>
      </c>
      <c r="AD576" s="925">
        <f t="shared" si="1702"/>
        <v>0</v>
      </c>
      <c r="AE576" s="925">
        <f t="shared" si="1702"/>
        <v>0</v>
      </c>
      <c r="AF576" s="925">
        <f t="shared" si="1702"/>
        <v>0</v>
      </c>
      <c r="AG576" s="925">
        <f t="shared" si="1702"/>
        <v>0</v>
      </c>
      <c r="AH576" s="925">
        <f t="shared" si="1702"/>
        <v>0</v>
      </c>
      <c r="AI576" s="925">
        <f t="shared" si="1702"/>
        <v>0</v>
      </c>
      <c r="AJ576" s="925">
        <f t="shared" si="1702"/>
        <v>0</v>
      </c>
      <c r="AK576" s="925">
        <f t="shared" si="1702"/>
        <v>0</v>
      </c>
      <c r="AL576" s="925">
        <f t="shared" si="1702"/>
        <v>0</v>
      </c>
      <c r="AM576" s="921"/>
    </row>
    <row r="577" spans="1:39" outlineLevel="1">
      <c r="A577" s="527"/>
      <c r="B577" s="428"/>
      <c r="C577" s="305"/>
      <c r="D577" s="291"/>
      <c r="E577" s="291"/>
      <c r="F577" s="291"/>
      <c r="G577" s="291"/>
      <c r="H577" s="291"/>
      <c r="I577" s="291"/>
      <c r="J577" s="291"/>
      <c r="K577" s="291"/>
      <c r="L577" s="291"/>
      <c r="M577" s="291"/>
      <c r="N577" s="291"/>
      <c r="O577" s="291"/>
      <c r="P577" s="291"/>
      <c r="Q577" s="291"/>
      <c r="R577" s="291"/>
      <c r="S577" s="291"/>
      <c r="T577" s="291"/>
      <c r="U577" s="291"/>
      <c r="V577" s="291"/>
      <c r="W577" s="291"/>
      <c r="X577" s="291"/>
      <c r="Y577" s="301"/>
      <c r="Z577" s="301"/>
      <c r="AA577" s="301"/>
      <c r="AB577" s="301"/>
      <c r="AC577" s="301"/>
      <c r="AD577" s="301"/>
      <c r="AE577" s="301"/>
      <c r="AF577" s="301"/>
      <c r="AG577" s="301"/>
      <c r="AH577" s="301"/>
      <c r="AI577" s="301"/>
      <c r="AJ577" s="301"/>
      <c r="AK577" s="301"/>
      <c r="AL577" s="301"/>
      <c r="AM577" s="306"/>
    </row>
    <row r="578" spans="1:39" ht="15.75">
      <c r="B578" s="326" t="s">
        <v>292</v>
      </c>
      <c r="C578" s="328"/>
      <c r="D578" s="328">
        <f>SUM(D407:D577)</f>
        <v>43517525.724048451</v>
      </c>
      <c r="E578" s="328"/>
      <c r="F578" s="328"/>
      <c r="G578" s="328"/>
      <c r="H578" s="328"/>
      <c r="I578" s="328"/>
      <c r="J578" s="328"/>
      <c r="K578" s="328"/>
      <c r="L578" s="328"/>
      <c r="M578" s="328"/>
      <c r="N578" s="328"/>
      <c r="O578" s="922">
        <f>SUM(O407:O577)</f>
        <v>11558.407380999999</v>
      </c>
      <c r="P578" s="328"/>
      <c r="Q578" s="328"/>
      <c r="R578" s="328"/>
      <c r="S578" s="328"/>
      <c r="T578" s="328"/>
      <c r="U578" s="328"/>
      <c r="V578" s="328"/>
      <c r="W578" s="328"/>
      <c r="X578" s="328"/>
      <c r="Y578" s="328">
        <f>IF(Y405="kWh",SUMPRODUCT(D407:D577,Y407:Y577))</f>
        <v>16255137</v>
      </c>
      <c r="Z578" s="328">
        <f>IF(Z405="kWh",SUMPRODUCT(D407:D573,Z407:Z573))</f>
        <v>2635145.3896453297</v>
      </c>
      <c r="AA578" s="328">
        <f>IF(AA405="kw",SUMPRODUCT(N407:N577,O407:O577,AA407:AA577),SUMPRODUCT(D407:D577,AA407:AA577))</f>
        <v>34896.156000000003</v>
      </c>
      <c r="AB578" s="922">
        <f>IF(AB405="kw",SUMPRODUCT(N407:N577,O407:O577,AB407:AB577),SUMPRODUCT(D407:D577,AB407:AB577))</f>
        <v>6376.4073809999991</v>
      </c>
      <c r="AC578" s="328">
        <f>IF(AC405="kw",SUMPRODUCT(N407:N573,O407:O573,AC407:AC573),SUMPRODUCT(D407:D573,AC407:AC573))</f>
        <v>0</v>
      </c>
      <c r="AD578" s="328">
        <f>IF(AD405="kw",SUMPRODUCT(N407:N573,O407:O573,AD407:AD573),SUMPRODUCT(D407:D573,AD407:AD573))</f>
        <v>0</v>
      </c>
      <c r="AE578" s="328">
        <f>IF(AE405="kw",SUMPRODUCT(N407:N573,O407:O573,AE407:AE573),SUMPRODUCT(D407:D573,AE407:AE573))</f>
        <v>0</v>
      </c>
      <c r="AF578" s="328">
        <f>IF(AF405="kw",SUMPRODUCT(N407:N573,O407:O573,AF407:AF573),SUMPRODUCT(D407:D573,AF407:AF573))</f>
        <v>0</v>
      </c>
      <c r="AG578" s="328">
        <f>IF(AG405="kw",SUMPRODUCT(N407:N573,O407:O573,AG407:AG573),SUMPRODUCT(D407:D573,AG407:AG573))</f>
        <v>0</v>
      </c>
      <c r="AH578" s="328">
        <f>IF(AH405="kw",SUMPRODUCT(N407:N573,O407:O573,AH407:AH573),SUMPRODUCT(D407:D573,AH407:AH573))</f>
        <v>0</v>
      </c>
      <c r="AI578" s="328">
        <f>IF(AI405="kw",SUMPRODUCT(N407:N573,O407:O573,AI407:AI573),SUMPRODUCT(D407:D573,AI407:AI573))</f>
        <v>0</v>
      </c>
      <c r="AJ578" s="328">
        <f>IF(AJ405="kw",SUMPRODUCT(N407:N573,O407:O573,AJ407:AJ573),SUMPRODUCT(D407:D573,AJ407:AJ573))</f>
        <v>0</v>
      </c>
      <c r="AK578" s="328">
        <f>IF(AK405="kw",SUMPRODUCT(N407:N573,O407:O573,AK407:AK573),SUMPRODUCT(D407:D573,AK407:AK573))</f>
        <v>0</v>
      </c>
      <c r="AL578" s="328">
        <f>IF(AL405="kw",SUMPRODUCT(N407:N573,O407:O573,AL407:AL573),SUMPRODUCT(D407:D573,AL407:AL573))</f>
        <v>0</v>
      </c>
      <c r="AM578" s="329"/>
    </row>
    <row r="579" spans="1:39" ht="15.75">
      <c r="B579" s="390" t="s">
        <v>293</v>
      </c>
      <c r="C579" s="391"/>
      <c r="D579" s="391"/>
      <c r="E579" s="391"/>
      <c r="F579" s="391"/>
      <c r="G579" s="391"/>
      <c r="H579" s="391"/>
      <c r="I579" s="391"/>
      <c r="J579" s="391"/>
      <c r="K579" s="391"/>
      <c r="L579" s="391"/>
      <c r="M579" s="391"/>
      <c r="N579" s="391"/>
      <c r="O579" s="391"/>
      <c r="P579" s="391"/>
      <c r="Q579" s="391"/>
      <c r="R579" s="391"/>
      <c r="S579" s="391"/>
      <c r="T579" s="391"/>
      <c r="U579" s="391"/>
      <c r="V579" s="391"/>
      <c r="W579" s="391"/>
      <c r="X579" s="391"/>
      <c r="Y579" s="391">
        <f>HLOOKUP(Y218,'2. LRAMVA Threshold'!$B$42:$Q$53,9,FALSE)</f>
        <v>3348102</v>
      </c>
      <c r="Z579" s="391">
        <f>HLOOKUP(Z218,'2. LRAMVA Threshold'!$B$42:$Q$53,9,FALSE)</f>
        <v>3280740</v>
      </c>
      <c r="AA579" s="391">
        <f>HLOOKUP(AA218,'2. LRAMVA Threshold'!$B$42:$Q$53,9,FALSE)</f>
        <v>31326</v>
      </c>
      <c r="AB579" s="391">
        <f>HLOOKUP(AB218,'2. LRAMVA Threshold'!$B$42:$Q$53,9,FALSE)</f>
        <v>0</v>
      </c>
      <c r="AC579" s="391">
        <f>HLOOKUP(AC218,'2. LRAMVA Threshold'!$B$42:$Q$53,9,FALSE)</f>
        <v>0</v>
      </c>
      <c r="AD579" s="391">
        <f>HLOOKUP(AD218,'2. LRAMVA Threshold'!$B$42:$Q$53,9,FALSE)</f>
        <v>0</v>
      </c>
      <c r="AE579" s="391">
        <f>HLOOKUP(AE218,'2. LRAMVA Threshold'!$B$42:$Q$53,9,FALSE)</f>
        <v>0</v>
      </c>
      <c r="AF579" s="391">
        <f>HLOOKUP(AF218,'2. LRAMVA Threshold'!$B$42:$Q$53,9,FALSE)</f>
        <v>0</v>
      </c>
      <c r="AG579" s="391">
        <f>HLOOKUP(AG218,'2. LRAMVA Threshold'!$B$42:$Q$53,9,FALSE)</f>
        <v>0</v>
      </c>
      <c r="AH579" s="391">
        <f>HLOOKUP(AH218,'2. LRAMVA Threshold'!$B$42:$Q$53,9,FALSE)</f>
        <v>0</v>
      </c>
      <c r="AI579" s="391">
        <f>HLOOKUP(AI218,'2. LRAMVA Threshold'!$B$42:$Q$53,9,FALSE)</f>
        <v>0</v>
      </c>
      <c r="AJ579" s="391">
        <f>HLOOKUP(AJ218,'2. LRAMVA Threshold'!$B$42:$Q$53,9,FALSE)</f>
        <v>0</v>
      </c>
      <c r="AK579" s="391">
        <f>HLOOKUP(AK218,'2. LRAMVA Threshold'!$B$42:$Q$53,9,FALSE)</f>
        <v>0</v>
      </c>
      <c r="AL579" s="391">
        <f>HLOOKUP(AL218,'2. LRAMVA Threshold'!$B$42:$Q$53,9,FALSE)</f>
        <v>0</v>
      </c>
      <c r="AM579" s="392"/>
    </row>
    <row r="580" spans="1:39">
      <c r="B580" s="393"/>
      <c r="C580" s="429"/>
      <c r="D580" s="430"/>
      <c r="E580" s="430"/>
      <c r="F580" s="430"/>
      <c r="G580" s="430"/>
      <c r="H580" s="430"/>
      <c r="I580" s="430"/>
      <c r="J580" s="430"/>
      <c r="K580" s="430"/>
      <c r="L580" s="430"/>
      <c r="M580" s="430"/>
      <c r="N580" s="430"/>
      <c r="O580" s="431"/>
      <c r="P580" s="430"/>
      <c r="Q580" s="430"/>
      <c r="R580" s="430"/>
      <c r="S580" s="432"/>
      <c r="T580" s="432"/>
      <c r="U580" s="432"/>
      <c r="V580" s="432"/>
      <c r="W580" s="430"/>
      <c r="X580" s="430"/>
      <c r="Y580" s="433"/>
      <c r="Z580" s="433"/>
      <c r="AA580" s="433"/>
      <c r="AB580" s="433"/>
      <c r="AC580" s="433"/>
      <c r="AD580" s="433"/>
      <c r="AE580" s="433"/>
      <c r="AF580" s="398"/>
      <c r="AG580" s="398"/>
      <c r="AH580" s="398"/>
      <c r="AI580" s="398"/>
      <c r="AJ580" s="398"/>
      <c r="AK580" s="398"/>
      <c r="AL580" s="398"/>
      <c r="AM580" s="399"/>
    </row>
    <row r="581" spans="1:39">
      <c r="B581" s="323" t="s">
        <v>294</v>
      </c>
      <c r="C581" s="337"/>
      <c r="D581" s="337"/>
      <c r="E581" s="375"/>
      <c r="F581" s="375"/>
      <c r="G581" s="375"/>
      <c r="H581" s="375"/>
      <c r="I581" s="375"/>
      <c r="J581" s="375"/>
      <c r="K581" s="375"/>
      <c r="L581" s="375"/>
      <c r="M581" s="375"/>
      <c r="N581" s="375"/>
      <c r="O581" s="291"/>
      <c r="P581" s="339"/>
      <c r="Q581" s="339"/>
      <c r="R581" s="339"/>
      <c r="S581" s="338"/>
      <c r="T581" s="338"/>
      <c r="U581" s="338"/>
      <c r="V581" s="338"/>
      <c r="W581" s="339"/>
      <c r="X581" s="339"/>
      <c r="Y581" s="340">
        <f>HLOOKUP(Y$35,'3.  Distribution Rates'!$C$122:$P$133,9,FALSE)</f>
        <v>8.3999999999999995E-3</v>
      </c>
      <c r="Z581" s="340">
        <f>HLOOKUP(Z$35,'3.  Distribution Rates'!$C$122:$P$133,9,FALSE)</f>
        <v>1.2999999999999999E-2</v>
      </c>
      <c r="AA581" s="340">
        <f>HLOOKUP(AA$35,'3.  Distribution Rates'!$C$122:$P$133,9,FALSE)</f>
        <v>4.6515000000000004</v>
      </c>
      <c r="AB581" s="340">
        <f>HLOOKUP(AB$35,'3.  Distribution Rates'!$C$122:$P$133,9,FALSE)</f>
        <v>4.8948999999999998</v>
      </c>
      <c r="AC581" s="340">
        <f>HLOOKUP(AC$35,'3.  Distribution Rates'!$C$122:$P$133,9,FALSE)</f>
        <v>0</v>
      </c>
      <c r="AD581" s="340">
        <f>HLOOKUP(AD$35,'3.  Distribution Rates'!$C$122:$P$133,9,FALSE)</f>
        <v>0</v>
      </c>
      <c r="AE581" s="340">
        <f>HLOOKUP(AE$35,'3.  Distribution Rates'!$C$122:$P$133,9,FALSE)</f>
        <v>0</v>
      </c>
      <c r="AF581" s="340">
        <f>HLOOKUP(AF$35,'3.  Distribution Rates'!$C$122:$P$133,9,FALSE)</f>
        <v>0</v>
      </c>
      <c r="AG581" s="340">
        <f>HLOOKUP(AG$35,'3.  Distribution Rates'!$C$122:$P$133,9,FALSE)</f>
        <v>0</v>
      </c>
      <c r="AH581" s="340">
        <f>HLOOKUP(AH$35,'3.  Distribution Rates'!$C$122:$P$133,9,FALSE)</f>
        <v>0</v>
      </c>
      <c r="AI581" s="340">
        <f>HLOOKUP(AI$35,'3.  Distribution Rates'!$C$122:$P$133,9,FALSE)</f>
        <v>0</v>
      </c>
      <c r="AJ581" s="340">
        <f>HLOOKUP(AJ$35,'3.  Distribution Rates'!$C$122:$P$133,9,FALSE)</f>
        <v>0</v>
      </c>
      <c r="AK581" s="340">
        <f>HLOOKUP(AK$35,'3.  Distribution Rates'!$C$122:$P$133,9,FALSE)</f>
        <v>0</v>
      </c>
      <c r="AL581" s="340">
        <f>HLOOKUP(AL$35,'3.  Distribution Rates'!$C$122:$P$133,9,FALSE)</f>
        <v>0</v>
      </c>
      <c r="AM581" s="438"/>
    </row>
    <row r="582" spans="1:39">
      <c r="B582" s="323" t="s">
        <v>295</v>
      </c>
      <c r="C582" s="344"/>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790"/>
      <c r="Z582" s="790"/>
      <c r="AA582" s="790"/>
      <c r="AB582" s="790"/>
      <c r="AC582" s="377">
        <f>'4.  2011-2014 LRAM'!AC140*AC581</f>
        <v>0</v>
      </c>
      <c r="AD582" s="377">
        <f>'4.  2011-2014 LRAM'!AD140*AD581</f>
        <v>0</v>
      </c>
      <c r="AE582" s="377">
        <f>'4.  2011-2014 LRAM'!AE140*AE581</f>
        <v>0</v>
      </c>
      <c r="AF582" s="377">
        <f>'4.  2011-2014 LRAM'!AF140*AF581</f>
        <v>0</v>
      </c>
      <c r="AG582" s="377">
        <f>'4.  2011-2014 LRAM'!AG140*AG581</f>
        <v>0</v>
      </c>
      <c r="AH582" s="377">
        <f>'4.  2011-2014 LRAM'!AH140*AH581</f>
        <v>0</v>
      </c>
      <c r="AI582" s="377">
        <f>'4.  2011-2014 LRAM'!AI140*AI581</f>
        <v>0</v>
      </c>
      <c r="AJ582" s="377">
        <f>'4.  2011-2014 LRAM'!AJ140*AJ581</f>
        <v>0</v>
      </c>
      <c r="AK582" s="377">
        <f>'4.  2011-2014 LRAM'!AK140*AK581</f>
        <v>0</v>
      </c>
      <c r="AL582" s="377">
        <f>'4.  2011-2014 LRAM'!AL140*AL581</f>
        <v>0</v>
      </c>
      <c r="AM582" s="624">
        <f t="shared" ref="AM582:AM588" si="1703">SUM(Y582:AL582)</f>
        <v>0</v>
      </c>
    </row>
    <row r="583" spans="1:39">
      <c r="B583" s="323" t="s">
        <v>296</v>
      </c>
      <c r="C583" s="344"/>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790"/>
      <c r="Z583" s="790"/>
      <c r="AA583" s="790"/>
      <c r="AB583" s="790"/>
      <c r="AC583" s="377">
        <f>'4.  2011-2014 LRAM'!AC269*AC581</f>
        <v>0</v>
      </c>
      <c r="AD583" s="377">
        <f>'4.  2011-2014 LRAM'!AD269*AD581</f>
        <v>0</v>
      </c>
      <c r="AE583" s="377">
        <f>'4.  2011-2014 LRAM'!AE269*AE581</f>
        <v>0</v>
      </c>
      <c r="AF583" s="377">
        <f>'4.  2011-2014 LRAM'!AF269*AF581</f>
        <v>0</v>
      </c>
      <c r="AG583" s="377">
        <f>'4.  2011-2014 LRAM'!AG269*AG581</f>
        <v>0</v>
      </c>
      <c r="AH583" s="377">
        <f>'4.  2011-2014 LRAM'!AH269*AH581</f>
        <v>0</v>
      </c>
      <c r="AI583" s="377">
        <f>'4.  2011-2014 LRAM'!AI269*AI581</f>
        <v>0</v>
      </c>
      <c r="AJ583" s="377">
        <f>'4.  2011-2014 LRAM'!AJ269*AJ581</f>
        <v>0</v>
      </c>
      <c r="AK583" s="377">
        <f>'4.  2011-2014 LRAM'!AK269*AK581</f>
        <v>0</v>
      </c>
      <c r="AL583" s="377">
        <f>'4.  2011-2014 LRAM'!AL269*AL581</f>
        <v>0</v>
      </c>
      <c r="AM583" s="624">
        <f t="shared" si="1703"/>
        <v>0</v>
      </c>
    </row>
    <row r="584" spans="1:39">
      <c r="B584" s="323" t="s">
        <v>297</v>
      </c>
      <c r="C584" s="344"/>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7">
        <f>'4.  2011-2014 LRAM'!Y398*Y581</f>
        <v>11972.836970187884</v>
      </c>
      <c r="Z584" s="377">
        <f>'4.  2011-2014 LRAM'!Z398*Z581</f>
        <v>14421.873071933198</v>
      </c>
      <c r="AA584" s="377">
        <f>'4.  2011-2014 LRAM'!AA398*AA581</f>
        <v>55418.237417576427</v>
      </c>
      <c r="AB584" s="377">
        <f>'4.  2011-2014 LRAM'!AB398*AB581</f>
        <v>0</v>
      </c>
      <c r="AC584" s="377">
        <f>'4.  2011-2014 LRAM'!AC398*AC581</f>
        <v>0</v>
      </c>
      <c r="AD584" s="377">
        <f>'4.  2011-2014 LRAM'!AD398*AD581</f>
        <v>0</v>
      </c>
      <c r="AE584" s="377">
        <f>'4.  2011-2014 LRAM'!AE398*AE581</f>
        <v>0</v>
      </c>
      <c r="AF584" s="377">
        <f>'4.  2011-2014 LRAM'!AF398*AF581</f>
        <v>0</v>
      </c>
      <c r="AG584" s="377">
        <f>'4.  2011-2014 LRAM'!AG398*AG581</f>
        <v>0</v>
      </c>
      <c r="AH584" s="377">
        <f>'4.  2011-2014 LRAM'!AH398*AH581</f>
        <v>0</v>
      </c>
      <c r="AI584" s="377">
        <f>'4.  2011-2014 LRAM'!AI398*AI581</f>
        <v>0</v>
      </c>
      <c r="AJ584" s="377">
        <f>'4.  2011-2014 LRAM'!AJ398*AJ581</f>
        <v>0</v>
      </c>
      <c r="AK584" s="377">
        <f>'4.  2011-2014 LRAM'!AK398*AK581</f>
        <v>0</v>
      </c>
      <c r="AL584" s="377">
        <f>'4.  2011-2014 LRAM'!AL398*AL581</f>
        <v>0</v>
      </c>
      <c r="AM584" s="624">
        <f t="shared" si="1703"/>
        <v>81812.947459697505</v>
      </c>
    </row>
    <row r="585" spans="1:39">
      <c r="B585" s="323" t="s">
        <v>298</v>
      </c>
      <c r="C585" s="344"/>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7">
        <f>'4.  2011-2014 LRAM'!Y528*Y581</f>
        <v>30295.347586368793</v>
      </c>
      <c r="Z585" s="377">
        <f>'4.  2011-2014 LRAM'!Z528*Z581</f>
        <v>20437.159796131004</v>
      </c>
      <c r="AA585" s="377">
        <f>'4.  2011-2014 LRAM'!AA528*AA581</f>
        <v>45719.309639953732</v>
      </c>
      <c r="AB585" s="377">
        <f>'4.  2011-2014 LRAM'!AB528*AB581</f>
        <v>0</v>
      </c>
      <c r="AC585" s="377">
        <f>'4.  2011-2014 LRAM'!AC528*AC581</f>
        <v>0</v>
      </c>
      <c r="AD585" s="377">
        <f>'4.  2011-2014 LRAM'!AD528*AD581</f>
        <v>0</v>
      </c>
      <c r="AE585" s="377">
        <f>'4.  2011-2014 LRAM'!AE528*AE581</f>
        <v>0</v>
      </c>
      <c r="AF585" s="377">
        <f>'4.  2011-2014 LRAM'!AF528*AF581</f>
        <v>0</v>
      </c>
      <c r="AG585" s="377">
        <f>'4.  2011-2014 LRAM'!AG528*AG581</f>
        <v>0</v>
      </c>
      <c r="AH585" s="377">
        <f>'4.  2011-2014 LRAM'!AH528*AH581</f>
        <v>0</v>
      </c>
      <c r="AI585" s="377">
        <f>'4.  2011-2014 LRAM'!AI528*AI581</f>
        <v>0</v>
      </c>
      <c r="AJ585" s="377">
        <f>'4.  2011-2014 LRAM'!AJ528*AJ581</f>
        <v>0</v>
      </c>
      <c r="AK585" s="377">
        <f>'4.  2011-2014 LRAM'!AK528*AK581</f>
        <v>0</v>
      </c>
      <c r="AL585" s="377">
        <f>'4.  2011-2014 LRAM'!AL528*AL581</f>
        <v>0</v>
      </c>
      <c r="AM585" s="624">
        <f t="shared" si="1703"/>
        <v>96451.817022453528</v>
      </c>
    </row>
    <row r="586" spans="1:39">
      <c r="B586" s="323" t="s">
        <v>299</v>
      </c>
      <c r="C586" s="344"/>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7">
        <f t="shared" ref="Y586:AL586" si="1704">Y209*Y581</f>
        <v>34714.604904</v>
      </c>
      <c r="Z586" s="377">
        <f t="shared" si="1704"/>
        <v>48507.443139999996</v>
      </c>
      <c r="AA586" s="377">
        <f t="shared" si="1704"/>
        <v>172959.88752000002</v>
      </c>
      <c r="AB586" s="377">
        <f t="shared" si="1704"/>
        <v>0</v>
      </c>
      <c r="AC586" s="377">
        <f t="shared" si="1704"/>
        <v>0</v>
      </c>
      <c r="AD586" s="377">
        <f t="shared" si="1704"/>
        <v>0</v>
      </c>
      <c r="AE586" s="377">
        <f t="shared" si="1704"/>
        <v>0</v>
      </c>
      <c r="AF586" s="377">
        <f t="shared" si="1704"/>
        <v>0</v>
      </c>
      <c r="AG586" s="377">
        <f t="shared" si="1704"/>
        <v>0</v>
      </c>
      <c r="AH586" s="377">
        <f t="shared" si="1704"/>
        <v>0</v>
      </c>
      <c r="AI586" s="377">
        <f t="shared" si="1704"/>
        <v>0</v>
      </c>
      <c r="AJ586" s="377">
        <f t="shared" si="1704"/>
        <v>0</v>
      </c>
      <c r="AK586" s="377">
        <f t="shared" si="1704"/>
        <v>0</v>
      </c>
      <c r="AL586" s="377">
        <f t="shared" si="1704"/>
        <v>0</v>
      </c>
      <c r="AM586" s="624">
        <f t="shared" si="1703"/>
        <v>256181.93556400001</v>
      </c>
    </row>
    <row r="587" spans="1:39">
      <c r="B587" s="323" t="s">
        <v>300</v>
      </c>
      <c r="C587" s="344"/>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7">
        <f t="shared" ref="Y587:AL587" si="1705">Y395*Y581</f>
        <v>78539.705999999991</v>
      </c>
      <c r="Z587" s="377">
        <f t="shared" si="1705"/>
        <v>19131.331439999998</v>
      </c>
      <c r="AA587" s="377">
        <f t="shared" si="1705"/>
        <v>121620.72384000001</v>
      </c>
      <c r="AB587" s="377">
        <f t="shared" si="1705"/>
        <v>0</v>
      </c>
      <c r="AC587" s="377">
        <f t="shared" si="1705"/>
        <v>0</v>
      </c>
      <c r="AD587" s="377">
        <f t="shared" si="1705"/>
        <v>0</v>
      </c>
      <c r="AE587" s="377">
        <f t="shared" si="1705"/>
        <v>0</v>
      </c>
      <c r="AF587" s="377">
        <f t="shared" si="1705"/>
        <v>0</v>
      </c>
      <c r="AG587" s="377">
        <f t="shared" si="1705"/>
        <v>0</v>
      </c>
      <c r="AH587" s="377">
        <f t="shared" si="1705"/>
        <v>0</v>
      </c>
      <c r="AI587" s="377">
        <f t="shared" si="1705"/>
        <v>0</v>
      </c>
      <c r="AJ587" s="377">
        <f t="shared" si="1705"/>
        <v>0</v>
      </c>
      <c r="AK587" s="377">
        <f t="shared" si="1705"/>
        <v>0</v>
      </c>
      <c r="AL587" s="377">
        <f t="shared" si="1705"/>
        <v>0</v>
      </c>
      <c r="AM587" s="624">
        <f t="shared" si="1703"/>
        <v>219291.76127999998</v>
      </c>
    </row>
    <row r="588" spans="1:39">
      <c r="B588" s="323" t="s">
        <v>301</v>
      </c>
      <c r="C588" s="344"/>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7">
        <f>Y578*Y581</f>
        <v>136543.1508</v>
      </c>
      <c r="Z588" s="377">
        <f t="shared" ref="Z588:AL588" si="1706">Z578*Z581</f>
        <v>34256.890065389285</v>
      </c>
      <c r="AA588" s="377">
        <f t="shared" si="1706"/>
        <v>162319.46963400004</v>
      </c>
      <c r="AB588" s="377">
        <f t="shared" si="1706"/>
        <v>31211.876489256894</v>
      </c>
      <c r="AC588" s="377">
        <f t="shared" si="1706"/>
        <v>0</v>
      </c>
      <c r="AD588" s="377">
        <f t="shared" si="1706"/>
        <v>0</v>
      </c>
      <c r="AE588" s="377">
        <f t="shared" si="1706"/>
        <v>0</v>
      </c>
      <c r="AF588" s="377">
        <f t="shared" si="1706"/>
        <v>0</v>
      </c>
      <c r="AG588" s="377">
        <f t="shared" si="1706"/>
        <v>0</v>
      </c>
      <c r="AH588" s="377">
        <f t="shared" si="1706"/>
        <v>0</v>
      </c>
      <c r="AI588" s="377">
        <f t="shared" si="1706"/>
        <v>0</v>
      </c>
      <c r="AJ588" s="377">
        <f t="shared" si="1706"/>
        <v>0</v>
      </c>
      <c r="AK588" s="377">
        <f t="shared" si="1706"/>
        <v>0</v>
      </c>
      <c r="AL588" s="377">
        <f t="shared" si="1706"/>
        <v>0</v>
      </c>
      <c r="AM588" s="624">
        <f t="shared" si="1703"/>
        <v>364331.38698864623</v>
      </c>
    </row>
    <row r="589" spans="1:39" ht="15.75">
      <c r="B589" s="348" t="s">
        <v>302</v>
      </c>
      <c r="C589" s="344"/>
      <c r="D589" s="335"/>
      <c r="E589" s="333"/>
      <c r="F589" s="333"/>
      <c r="G589" s="333"/>
      <c r="H589" s="333"/>
      <c r="I589" s="333"/>
      <c r="J589" s="333"/>
      <c r="K589" s="333"/>
      <c r="L589" s="333"/>
      <c r="M589" s="333"/>
      <c r="N589" s="333"/>
      <c r="O589" s="300"/>
      <c r="P589" s="333"/>
      <c r="Q589" s="333"/>
      <c r="R589" s="333"/>
      <c r="S589" s="335"/>
      <c r="T589" s="335"/>
      <c r="U589" s="335"/>
      <c r="V589" s="335"/>
      <c r="W589" s="333"/>
      <c r="X589" s="333"/>
      <c r="Y589" s="345">
        <f>SUM(Y582:Y588)</f>
        <v>292065.64626055665</v>
      </c>
      <c r="Z589" s="345">
        <f>SUM(Z582:Z588)</f>
        <v>136754.69751345349</v>
      </c>
      <c r="AA589" s="345">
        <f t="shared" ref="AA589:AE589" si="1707">SUM(AA582:AA588)</f>
        <v>558037.62805153022</v>
      </c>
      <c r="AB589" s="345">
        <f t="shared" si="1707"/>
        <v>31211.876489256894</v>
      </c>
      <c r="AC589" s="345">
        <f t="shared" si="1707"/>
        <v>0</v>
      </c>
      <c r="AD589" s="345">
        <f>SUM(AD582:AD588)</f>
        <v>0</v>
      </c>
      <c r="AE589" s="345">
        <f t="shared" si="1707"/>
        <v>0</v>
      </c>
      <c r="AF589" s="345">
        <f>SUM(AF582:AF588)</f>
        <v>0</v>
      </c>
      <c r="AG589" s="345">
        <f>SUM(AG582:AG588)</f>
        <v>0</v>
      </c>
      <c r="AH589" s="345">
        <f t="shared" ref="AH589:AL589" si="1708">SUM(AH582:AH588)</f>
        <v>0</v>
      </c>
      <c r="AI589" s="345">
        <f t="shared" si="1708"/>
        <v>0</v>
      </c>
      <c r="AJ589" s="345">
        <f>SUM(AJ582:AJ588)</f>
        <v>0</v>
      </c>
      <c r="AK589" s="345">
        <f t="shared" si="1708"/>
        <v>0</v>
      </c>
      <c r="AL589" s="345">
        <f t="shared" si="1708"/>
        <v>0</v>
      </c>
      <c r="AM589" s="406">
        <f>SUM(AM582:AM588)</f>
        <v>1018069.8483147973</v>
      </c>
    </row>
    <row r="590" spans="1:39" ht="15.75">
      <c r="B590" s="348" t="s">
        <v>303</v>
      </c>
      <c r="C590" s="344"/>
      <c r="D590" s="349"/>
      <c r="E590" s="333"/>
      <c r="F590" s="333"/>
      <c r="G590" s="333"/>
      <c r="H590" s="333"/>
      <c r="I590" s="333"/>
      <c r="J590" s="333"/>
      <c r="K590" s="333"/>
      <c r="L590" s="333"/>
      <c r="M590" s="333"/>
      <c r="N590" s="333"/>
      <c r="O590" s="300"/>
      <c r="P590" s="333"/>
      <c r="Q590" s="333"/>
      <c r="R590" s="333"/>
      <c r="S590" s="335"/>
      <c r="T590" s="335"/>
      <c r="U590" s="335"/>
      <c r="V590" s="335"/>
      <c r="W590" s="333"/>
      <c r="X590" s="333"/>
      <c r="Y590" s="346">
        <f>Y579*Y581</f>
        <v>28124.056799999998</v>
      </c>
      <c r="Z590" s="346">
        <f t="shared" ref="Z590:AE590" si="1709">Z579*Z581</f>
        <v>42649.619999999995</v>
      </c>
      <c r="AA590" s="346">
        <f t="shared" si="1709"/>
        <v>145712.88900000002</v>
      </c>
      <c r="AB590" s="346">
        <f t="shared" si="1709"/>
        <v>0</v>
      </c>
      <c r="AC590" s="346">
        <f t="shared" si="1709"/>
        <v>0</v>
      </c>
      <c r="AD590" s="346">
        <f>AD579*AD581</f>
        <v>0</v>
      </c>
      <c r="AE590" s="346">
        <f t="shared" si="1709"/>
        <v>0</v>
      </c>
      <c r="AF590" s="346">
        <f>AF579*AF581</f>
        <v>0</v>
      </c>
      <c r="AG590" s="346">
        <f t="shared" ref="AG590:AL590" si="1710">AG579*AG581</f>
        <v>0</v>
      </c>
      <c r="AH590" s="346">
        <f t="shared" si="1710"/>
        <v>0</v>
      </c>
      <c r="AI590" s="346">
        <f t="shared" si="1710"/>
        <v>0</v>
      </c>
      <c r="AJ590" s="346">
        <f>AJ579*AJ581</f>
        <v>0</v>
      </c>
      <c r="AK590" s="346">
        <f>AK579*AK581</f>
        <v>0</v>
      </c>
      <c r="AL590" s="346">
        <f t="shared" si="1710"/>
        <v>0</v>
      </c>
      <c r="AM590" s="406">
        <f>SUM(Y590:AL590)</f>
        <v>216486.56580000001</v>
      </c>
    </row>
    <row r="591" spans="1:39" ht="15.75">
      <c r="B591" s="348" t="s">
        <v>304</v>
      </c>
      <c r="C591" s="344"/>
      <c r="D591" s="349"/>
      <c r="E591" s="333"/>
      <c r="F591" s="333"/>
      <c r="G591" s="333"/>
      <c r="H591" s="333"/>
      <c r="I591" s="333"/>
      <c r="J591" s="333"/>
      <c r="K591" s="333"/>
      <c r="L591" s="333"/>
      <c r="M591" s="333"/>
      <c r="N591" s="333"/>
      <c r="O591" s="300"/>
      <c r="P591" s="333"/>
      <c r="Q591" s="333"/>
      <c r="R591" s="333"/>
      <c r="S591" s="349"/>
      <c r="T591" s="349"/>
      <c r="U591" s="349"/>
      <c r="V591" s="349"/>
      <c r="W591" s="333"/>
      <c r="X591" s="333"/>
      <c r="Y591" s="350"/>
      <c r="Z591" s="350"/>
      <c r="AA591" s="350"/>
      <c r="AB591" s="350"/>
      <c r="AC591" s="350"/>
      <c r="AD591" s="350"/>
      <c r="AE591" s="350"/>
      <c r="AF591" s="350"/>
      <c r="AG591" s="350"/>
      <c r="AH591" s="350"/>
      <c r="AI591" s="350"/>
      <c r="AJ591" s="350"/>
      <c r="AK591" s="350"/>
      <c r="AL591" s="350"/>
      <c r="AM591" s="406">
        <f>AM589-AM590</f>
        <v>801583.28251479729</v>
      </c>
    </row>
    <row r="592" spans="1:39">
      <c r="B592" s="323"/>
      <c r="C592" s="349"/>
      <c r="D592" s="349"/>
      <c r="E592" s="333"/>
      <c r="F592" s="333"/>
      <c r="G592" s="333"/>
      <c r="H592" s="333"/>
      <c r="I592" s="333"/>
      <c r="J592" s="333"/>
      <c r="K592" s="333"/>
      <c r="L592" s="333"/>
      <c r="M592" s="333"/>
      <c r="N592" s="333"/>
      <c r="O592" s="300"/>
      <c r="P592" s="333"/>
      <c r="Q592" s="333"/>
      <c r="R592" s="333"/>
      <c r="S592" s="349"/>
      <c r="T592" s="344"/>
      <c r="U592" s="349"/>
      <c r="V592" s="349"/>
      <c r="W592" s="333"/>
      <c r="X592" s="333"/>
      <c r="Y592" s="351"/>
      <c r="Z592" s="351"/>
      <c r="AA592" s="351"/>
      <c r="AB592" s="351"/>
      <c r="AC592" s="351"/>
      <c r="AD592" s="351"/>
      <c r="AE592" s="351"/>
      <c r="AF592" s="351"/>
      <c r="AG592" s="351"/>
      <c r="AH592" s="351"/>
      <c r="AI592" s="351"/>
      <c r="AJ592" s="351"/>
      <c r="AK592" s="351"/>
      <c r="AL592" s="351"/>
      <c r="AM592" s="347"/>
    </row>
    <row r="593" spans="1:39">
      <c r="B593" s="436" t="s">
        <v>305</v>
      </c>
      <c r="C593" s="304"/>
      <c r="D593" s="279"/>
      <c r="E593" s="279"/>
      <c r="F593" s="279"/>
      <c r="G593" s="279"/>
      <c r="H593" s="279"/>
      <c r="I593" s="279"/>
      <c r="J593" s="279"/>
      <c r="K593" s="279"/>
      <c r="L593" s="279"/>
      <c r="M593" s="279"/>
      <c r="N593" s="279"/>
      <c r="O593" s="356"/>
      <c r="P593" s="279"/>
      <c r="Q593" s="279"/>
      <c r="R593" s="279"/>
      <c r="S593" s="304"/>
      <c r="T593" s="309"/>
      <c r="U593" s="309"/>
      <c r="V593" s="279"/>
      <c r="W593" s="279"/>
      <c r="X593" s="309"/>
      <c r="Y593" s="291">
        <f>SUMPRODUCT(E407:E573,Y407:Y573)</f>
        <v>12904769.464</v>
      </c>
      <c r="Z593" s="291">
        <f>SUMPRODUCT(E407:E573,Z407:Z573)</f>
        <v>2035154.4435568375</v>
      </c>
      <c r="AA593" s="291">
        <f t="shared" ref="AA593:AL593" si="1711">IF(AA405="kw",SUMPRODUCT($N$407:$N$573,$P$407:$P$573,AA407:AA573),SUMPRODUCT($E$407:$E$573,AA407:AA573))</f>
        <v>35266.716</v>
      </c>
      <c r="AB593" s="291">
        <f t="shared" si="1711"/>
        <v>21874.958603999996</v>
      </c>
      <c r="AC593" s="291">
        <f t="shared" si="1711"/>
        <v>0</v>
      </c>
      <c r="AD593" s="291">
        <f t="shared" si="1711"/>
        <v>0</v>
      </c>
      <c r="AE593" s="291">
        <f t="shared" si="1711"/>
        <v>0</v>
      </c>
      <c r="AF593" s="291">
        <f t="shared" si="1711"/>
        <v>0</v>
      </c>
      <c r="AG593" s="291">
        <f t="shared" si="1711"/>
        <v>0</v>
      </c>
      <c r="AH593" s="291">
        <f t="shared" si="1711"/>
        <v>0</v>
      </c>
      <c r="AI593" s="291">
        <f t="shared" si="1711"/>
        <v>0</v>
      </c>
      <c r="AJ593" s="291">
        <f t="shared" si="1711"/>
        <v>0</v>
      </c>
      <c r="AK593" s="291">
        <f t="shared" si="1711"/>
        <v>0</v>
      </c>
      <c r="AL593" s="291">
        <f t="shared" si="1711"/>
        <v>0</v>
      </c>
      <c r="AM593" s="336"/>
    </row>
    <row r="594" spans="1:39">
      <c r="B594" s="436" t="s">
        <v>306</v>
      </c>
      <c r="C594" s="304"/>
      <c r="D594" s="279"/>
      <c r="E594" s="279"/>
      <c r="F594" s="279"/>
      <c r="G594" s="279"/>
      <c r="H594" s="279"/>
      <c r="I594" s="279"/>
      <c r="J594" s="279"/>
      <c r="K594" s="279"/>
      <c r="L594" s="279"/>
      <c r="M594" s="279"/>
      <c r="N594" s="279"/>
      <c r="O594" s="356"/>
      <c r="P594" s="279"/>
      <c r="Q594" s="279"/>
      <c r="R594" s="279"/>
      <c r="S594" s="304"/>
      <c r="T594" s="309"/>
      <c r="U594" s="309"/>
      <c r="V594" s="279"/>
      <c r="W594" s="279"/>
      <c r="X594" s="309"/>
      <c r="Y594" s="291">
        <f>SUMPRODUCT(F407:F573,Y407:Y573)</f>
        <v>12904769.464</v>
      </c>
      <c r="Z594" s="291">
        <f>SUMPRODUCT(F407:F573,Z407:Z573)</f>
        <v>2034322.8915068372</v>
      </c>
      <c r="AA594" s="291">
        <f t="shared" ref="AA594:AL594" si="1712">IF(AA405="kw",SUMPRODUCT($N$407:$N$573,$Q$407:$Q$573,AA407:AA573),SUMPRODUCT($F$407:$F$573,AA407:AA573))</f>
        <v>35266.716</v>
      </c>
      <c r="AB594" s="291">
        <f t="shared" si="1712"/>
        <v>21874.958603999996</v>
      </c>
      <c r="AC594" s="291">
        <f t="shared" si="1712"/>
        <v>0</v>
      </c>
      <c r="AD594" s="291">
        <f t="shared" si="1712"/>
        <v>0</v>
      </c>
      <c r="AE594" s="291">
        <f t="shared" si="1712"/>
        <v>0</v>
      </c>
      <c r="AF594" s="291">
        <f t="shared" si="1712"/>
        <v>0</v>
      </c>
      <c r="AG594" s="291">
        <f t="shared" si="1712"/>
        <v>0</v>
      </c>
      <c r="AH594" s="291">
        <f t="shared" si="1712"/>
        <v>0</v>
      </c>
      <c r="AI594" s="291">
        <f t="shared" si="1712"/>
        <v>0</v>
      </c>
      <c r="AJ594" s="291">
        <f t="shared" si="1712"/>
        <v>0</v>
      </c>
      <c r="AK594" s="291">
        <f t="shared" si="1712"/>
        <v>0</v>
      </c>
      <c r="AL594" s="291">
        <f t="shared" si="1712"/>
        <v>0</v>
      </c>
      <c r="AM594" s="336"/>
    </row>
    <row r="595" spans="1:39">
      <c r="B595" s="437" t="s">
        <v>307</v>
      </c>
      <c r="C595" s="363"/>
      <c r="D595" s="383"/>
      <c r="E595" s="383"/>
      <c r="F595" s="383"/>
      <c r="G595" s="383"/>
      <c r="H595" s="383"/>
      <c r="I595" s="383"/>
      <c r="J595" s="383"/>
      <c r="K595" s="383"/>
      <c r="L595" s="383"/>
      <c r="M595" s="383"/>
      <c r="N595" s="383"/>
      <c r="O595" s="382"/>
      <c r="P595" s="383"/>
      <c r="Q595" s="383"/>
      <c r="R595" s="383"/>
      <c r="S595" s="363"/>
      <c r="T595" s="384"/>
      <c r="U595" s="384"/>
      <c r="V595" s="383"/>
      <c r="W595" s="383"/>
      <c r="X595" s="384"/>
      <c r="Y595" s="325">
        <f>SUMPRODUCT(G407:G573,Y407:Y573)</f>
        <v>12904769.464</v>
      </c>
      <c r="Z595" s="325">
        <f>SUMPRODUCT(G407:G573,Z407:Z573)</f>
        <v>2034322.8915068372</v>
      </c>
      <c r="AA595" s="325">
        <f t="shared" ref="AA595:AL595" si="1713">IF(AA405="kw",SUMPRODUCT($N$407:$N$573,$R$407:$R$573,AA407:AA573),SUMPRODUCT($G$407:$G$573,AA407:AA573))</f>
        <v>35266.716</v>
      </c>
      <c r="AB595" s="325">
        <f t="shared" si="1713"/>
        <v>21874.958603999996</v>
      </c>
      <c r="AC595" s="325">
        <f t="shared" si="1713"/>
        <v>0</v>
      </c>
      <c r="AD595" s="325">
        <f t="shared" si="1713"/>
        <v>0</v>
      </c>
      <c r="AE595" s="325">
        <f t="shared" si="1713"/>
        <v>0</v>
      </c>
      <c r="AF595" s="325">
        <f t="shared" si="1713"/>
        <v>0</v>
      </c>
      <c r="AG595" s="325">
        <f t="shared" si="1713"/>
        <v>0</v>
      </c>
      <c r="AH595" s="325">
        <f t="shared" si="1713"/>
        <v>0</v>
      </c>
      <c r="AI595" s="325">
        <f t="shared" si="1713"/>
        <v>0</v>
      </c>
      <c r="AJ595" s="325">
        <f t="shared" si="1713"/>
        <v>0</v>
      </c>
      <c r="AK595" s="325">
        <f t="shared" si="1713"/>
        <v>0</v>
      </c>
      <c r="AL595" s="325">
        <f t="shared" si="1713"/>
        <v>0</v>
      </c>
      <c r="AM595" s="385"/>
    </row>
    <row r="596" spans="1:39" ht="22.5" customHeight="1">
      <c r="B596" s="367" t="s">
        <v>582</v>
      </c>
      <c r="C596" s="386"/>
      <c r="D596" s="387"/>
      <c r="E596" s="387"/>
      <c r="F596" s="387"/>
      <c r="G596" s="387"/>
      <c r="H596" s="387"/>
      <c r="I596" s="387"/>
      <c r="J596" s="387"/>
      <c r="K596" s="387"/>
      <c r="L596" s="387"/>
      <c r="M596" s="387"/>
      <c r="N596" s="387"/>
      <c r="O596" s="387"/>
      <c r="P596" s="387"/>
      <c r="Q596" s="387"/>
      <c r="R596" s="387"/>
      <c r="S596" s="370"/>
      <c r="T596" s="371"/>
      <c r="U596" s="387"/>
      <c r="V596" s="387"/>
      <c r="W596" s="387"/>
      <c r="X596" s="387"/>
      <c r="Y596" s="408"/>
      <c r="Z596" s="408"/>
      <c r="AA596" s="408"/>
      <c r="AB596" s="408"/>
      <c r="AC596" s="408"/>
      <c r="AD596" s="408"/>
      <c r="AE596" s="408"/>
      <c r="AF596" s="408"/>
      <c r="AG596" s="408"/>
      <c r="AH596" s="408"/>
      <c r="AI596" s="408"/>
      <c r="AJ596" s="408"/>
      <c r="AK596" s="408"/>
      <c r="AL596" s="408"/>
      <c r="AM596" s="388"/>
    </row>
    <row r="599" spans="1:39" ht="15.75">
      <c r="B599" s="280" t="s">
        <v>309</v>
      </c>
      <c r="C599" s="281"/>
      <c r="D599" s="585" t="s">
        <v>526</v>
      </c>
      <c r="E599" s="253"/>
      <c r="F599" s="585"/>
      <c r="G599" s="253"/>
      <c r="H599" s="253"/>
      <c r="I599" s="253"/>
      <c r="J599" s="253"/>
      <c r="K599" s="253"/>
      <c r="L599" s="253"/>
      <c r="M599" s="253"/>
      <c r="N599" s="253"/>
      <c r="O599" s="281"/>
      <c r="P599" s="253"/>
      <c r="Q599" s="253"/>
      <c r="R599" s="253"/>
      <c r="S599" s="253"/>
      <c r="T599" s="253"/>
      <c r="U599" s="253"/>
      <c r="V599" s="253"/>
      <c r="W599" s="253"/>
      <c r="X599" s="253"/>
      <c r="Y599" s="270"/>
      <c r="Z599" s="267"/>
      <c r="AA599" s="267"/>
      <c r="AB599" s="267"/>
      <c r="AC599" s="267"/>
      <c r="AD599" s="267"/>
      <c r="AE599" s="267"/>
      <c r="AF599" s="267"/>
      <c r="AG599" s="267"/>
      <c r="AH599" s="267"/>
      <c r="AI599" s="267"/>
      <c r="AJ599" s="267"/>
      <c r="AK599" s="267"/>
      <c r="AL599" s="267"/>
    </row>
    <row r="600" spans="1:39" ht="33.75" customHeight="1">
      <c r="B600" s="1199" t="s">
        <v>211</v>
      </c>
      <c r="C600" s="1201" t="s">
        <v>33</v>
      </c>
      <c r="D600" s="284" t="s">
        <v>422</v>
      </c>
      <c r="E600" s="1203" t="s">
        <v>209</v>
      </c>
      <c r="F600" s="1204"/>
      <c r="G600" s="1204"/>
      <c r="H600" s="1204"/>
      <c r="I600" s="1204"/>
      <c r="J600" s="1204"/>
      <c r="K600" s="1204"/>
      <c r="L600" s="1204"/>
      <c r="M600" s="1205"/>
      <c r="N600" s="1206" t="s">
        <v>213</v>
      </c>
      <c r="O600" s="284" t="s">
        <v>423</v>
      </c>
      <c r="P600" s="1203" t="s">
        <v>212</v>
      </c>
      <c r="Q600" s="1204"/>
      <c r="R600" s="1204"/>
      <c r="S600" s="1204"/>
      <c r="T600" s="1204"/>
      <c r="U600" s="1204"/>
      <c r="V600" s="1204"/>
      <c r="W600" s="1204"/>
      <c r="X600" s="1205"/>
      <c r="Y600" s="940" t="s">
        <v>243</v>
      </c>
      <c r="Z600" s="941"/>
      <c r="AA600" s="941"/>
      <c r="AB600" s="941"/>
      <c r="AC600" s="941"/>
      <c r="AD600" s="941"/>
      <c r="AE600" s="941"/>
      <c r="AF600" s="941"/>
      <c r="AG600" s="941"/>
      <c r="AH600" s="941"/>
      <c r="AI600" s="941"/>
      <c r="AJ600" s="941"/>
      <c r="AK600" s="941"/>
      <c r="AL600" s="941"/>
      <c r="AM600" s="942"/>
    </row>
    <row r="601" spans="1:39" ht="68.25" customHeight="1">
      <c r="B601" s="1200"/>
      <c r="C601" s="1202"/>
      <c r="D601" s="285">
        <v>2018</v>
      </c>
      <c r="E601" s="285">
        <v>2019</v>
      </c>
      <c r="F601" s="285">
        <v>2020</v>
      </c>
      <c r="G601" s="285">
        <v>2021</v>
      </c>
      <c r="H601" s="285">
        <v>2022</v>
      </c>
      <c r="I601" s="285">
        <v>2023</v>
      </c>
      <c r="J601" s="285">
        <v>2024</v>
      </c>
      <c r="K601" s="285">
        <v>2025</v>
      </c>
      <c r="L601" s="285">
        <v>2026</v>
      </c>
      <c r="M601" s="285">
        <v>2027</v>
      </c>
      <c r="N601" s="1207"/>
      <c r="O601" s="285">
        <v>2018</v>
      </c>
      <c r="P601" s="285">
        <v>2019</v>
      </c>
      <c r="Q601" s="285">
        <v>2020</v>
      </c>
      <c r="R601" s="285">
        <v>2021</v>
      </c>
      <c r="S601" s="285">
        <v>2022</v>
      </c>
      <c r="T601" s="285">
        <v>2023</v>
      </c>
      <c r="U601" s="285">
        <v>2024</v>
      </c>
      <c r="V601" s="285">
        <v>2025</v>
      </c>
      <c r="W601" s="285">
        <v>2026</v>
      </c>
      <c r="X601" s="285">
        <v>2027</v>
      </c>
      <c r="Y601" s="285" t="str">
        <f>'1.  LRAMVA Summary'!D52</f>
        <v>Residential</v>
      </c>
      <c r="Z601" s="285" t="str">
        <f>'1.  LRAMVA Summary'!E52</f>
        <v>GS&lt;50 kW</v>
      </c>
      <c r="AA601" s="285" t="str">
        <f>'1.  LRAMVA Summary'!F52</f>
        <v>GS&gt; 50 kW</v>
      </c>
      <c r="AB601" s="285" t="str">
        <f>'1.  LRAMVA Summary'!G52</f>
        <v>Streetlighting kW</v>
      </c>
      <c r="AC601" s="285" t="str">
        <f>'1.  LRAMVA Summary'!H52</f>
        <v/>
      </c>
      <c r="AD601" s="285" t="str">
        <f>'1.  LRAMVA Summary'!I52</f>
        <v/>
      </c>
      <c r="AE601" s="285" t="str">
        <f>'1.  LRAMVA Summary'!J52</f>
        <v/>
      </c>
      <c r="AF601" s="285" t="str">
        <f>'1.  LRAMVA Summary'!K52</f>
        <v/>
      </c>
      <c r="AG601" s="285" t="str">
        <f>'1.  LRAMVA Summary'!L52</f>
        <v/>
      </c>
      <c r="AH601" s="285" t="str">
        <f>'1.  LRAMVA Summary'!M52</f>
        <v/>
      </c>
      <c r="AI601" s="285" t="str">
        <f>'1.  LRAMVA Summary'!N52</f>
        <v/>
      </c>
      <c r="AJ601" s="285" t="str">
        <f>'1.  LRAMVA Summary'!O52</f>
        <v/>
      </c>
      <c r="AK601" s="285" t="str">
        <f>'1.  LRAMVA Summary'!P52</f>
        <v/>
      </c>
      <c r="AL601" s="285" t="str">
        <f>'1.  LRAMVA Summary'!Q52</f>
        <v/>
      </c>
      <c r="AM601" s="287" t="str">
        <f>'1.  LRAMVA Summary'!R52</f>
        <v>Total</v>
      </c>
    </row>
    <row r="602" spans="1:39" ht="15.75" customHeight="1">
      <c r="A602" s="527"/>
      <c r="B602" s="898" t="s">
        <v>504</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t="str">
        <f>'1.  LRAMVA Summary'!D53</f>
        <v>kWh</v>
      </c>
      <c r="Z602" s="291" t="str">
        <f>'1.  LRAMVA Summary'!E53</f>
        <v>kWh</v>
      </c>
      <c r="AA602" s="291" t="str">
        <f>'1.  LRAMVA Summary'!F53</f>
        <v>kW</v>
      </c>
      <c r="AB602" s="291" t="str">
        <f>'1.  LRAMVA Summary'!G53</f>
        <v>kW</v>
      </c>
      <c r="AC602" s="291">
        <f>'1.  LRAMVA Summary'!H53</f>
        <v>0</v>
      </c>
      <c r="AD602" s="291">
        <f>'1.  LRAMVA Summary'!I53</f>
        <v>0</v>
      </c>
      <c r="AE602" s="291">
        <f>'1.  LRAMVA Summary'!J53</f>
        <v>0</v>
      </c>
      <c r="AF602" s="291">
        <f>'1.  LRAMVA Summary'!K53</f>
        <v>0</v>
      </c>
      <c r="AG602" s="291">
        <f>'1.  LRAMVA Summary'!L53</f>
        <v>0</v>
      </c>
      <c r="AH602" s="291">
        <f>'1.  LRAMVA Summary'!M53</f>
        <v>0</v>
      </c>
      <c r="AI602" s="291">
        <f>'1.  LRAMVA Summary'!N53</f>
        <v>0</v>
      </c>
      <c r="AJ602" s="291">
        <f>'1.  LRAMVA Summary'!O53</f>
        <v>0</v>
      </c>
      <c r="AK602" s="291">
        <f>'1.  LRAMVA Summary'!P53</f>
        <v>0</v>
      </c>
      <c r="AL602" s="291">
        <f>'1.  LRAMVA Summary'!Q53</f>
        <v>0</v>
      </c>
      <c r="AM602" s="292"/>
    </row>
    <row r="603" spans="1:39" ht="15.75" hidden="1" outlineLevel="2">
      <c r="A603" s="527"/>
      <c r="B603" s="499" t="s">
        <v>497</v>
      </c>
      <c r="C603" s="289"/>
      <c r="D603" s="289"/>
      <c r="E603" s="289"/>
      <c r="F603" s="289"/>
      <c r="G603" s="289"/>
      <c r="H603" s="289"/>
      <c r="I603" s="289"/>
      <c r="J603" s="289"/>
      <c r="K603" s="289"/>
      <c r="L603" s="289"/>
      <c r="M603" s="289"/>
      <c r="N603" s="290"/>
      <c r="O603" s="289"/>
      <c r="P603" s="289"/>
      <c r="Q603" s="289"/>
      <c r="R603" s="289"/>
      <c r="S603" s="289"/>
      <c r="T603" s="289"/>
      <c r="U603" s="289"/>
      <c r="V603" s="289"/>
      <c r="W603" s="289"/>
      <c r="X603" s="289"/>
      <c r="Y603" s="291"/>
      <c r="Z603" s="291"/>
      <c r="AA603" s="291"/>
      <c r="AB603" s="291"/>
      <c r="AC603" s="291"/>
      <c r="AD603" s="291"/>
      <c r="AE603" s="291"/>
      <c r="AF603" s="291"/>
      <c r="AG603" s="291"/>
      <c r="AH603" s="291"/>
      <c r="AI603" s="291"/>
      <c r="AJ603" s="291"/>
      <c r="AK603" s="291"/>
      <c r="AL603" s="291"/>
      <c r="AM603" s="292"/>
    </row>
    <row r="604" spans="1:39" hidden="1" outlineLevel="2">
      <c r="A604" s="527">
        <v>1</v>
      </c>
      <c r="B604" s="425" t="s">
        <v>95</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09"/>
      <c r="Z604" s="409"/>
      <c r="AA604" s="409"/>
      <c r="AB604" s="409"/>
      <c r="AC604" s="409"/>
      <c r="AD604" s="409"/>
      <c r="AE604" s="409"/>
      <c r="AF604" s="409"/>
      <c r="AG604" s="409"/>
      <c r="AH604" s="409"/>
      <c r="AI604" s="409"/>
      <c r="AJ604" s="409"/>
      <c r="AK604" s="409"/>
      <c r="AL604" s="409"/>
      <c r="AM604" s="296">
        <f>SUM(Y604:AL604)</f>
        <v>0</v>
      </c>
    </row>
    <row r="605" spans="1:39" hidden="1" outlineLevel="2">
      <c r="A605" s="527"/>
      <c r="B605" s="294" t="s">
        <v>310</v>
      </c>
      <c r="C605" s="291" t="s">
        <v>163</v>
      </c>
      <c r="D605" s="295"/>
      <c r="E605" s="295"/>
      <c r="F605" s="295"/>
      <c r="G605" s="295"/>
      <c r="H605" s="295"/>
      <c r="I605" s="295"/>
      <c r="J605" s="295"/>
      <c r="K605" s="295"/>
      <c r="L605" s="295"/>
      <c r="M605" s="295"/>
      <c r="N605" s="464"/>
      <c r="O605" s="295"/>
      <c r="P605" s="295"/>
      <c r="Q605" s="295"/>
      <c r="R605" s="295"/>
      <c r="S605" s="295"/>
      <c r="T605" s="295"/>
      <c r="U605" s="295"/>
      <c r="V605" s="295"/>
      <c r="W605" s="295"/>
      <c r="X605" s="295"/>
      <c r="Y605" s="410">
        <f>Y604</f>
        <v>0</v>
      </c>
      <c r="Z605" s="410">
        <f t="shared" ref="Z605" si="1714">Z604</f>
        <v>0</v>
      </c>
      <c r="AA605" s="410">
        <f t="shared" ref="AA605" si="1715">AA604</f>
        <v>0</v>
      </c>
      <c r="AB605" s="410">
        <f t="shared" ref="AB605" si="1716">AB604</f>
        <v>0</v>
      </c>
      <c r="AC605" s="410">
        <f t="shared" ref="AC605" si="1717">AC604</f>
        <v>0</v>
      </c>
      <c r="AD605" s="410">
        <f t="shared" ref="AD605" si="1718">AD604</f>
        <v>0</v>
      </c>
      <c r="AE605" s="410">
        <f t="shared" ref="AE605" si="1719">AE604</f>
        <v>0</v>
      </c>
      <c r="AF605" s="410">
        <f t="shared" ref="AF605" si="1720">AF604</f>
        <v>0</v>
      </c>
      <c r="AG605" s="410">
        <f t="shared" ref="AG605" si="1721">AG604</f>
        <v>0</v>
      </c>
      <c r="AH605" s="410">
        <f t="shared" ref="AH605" si="1722">AH604</f>
        <v>0</v>
      </c>
      <c r="AI605" s="410">
        <f t="shared" ref="AI605" si="1723">AI604</f>
        <v>0</v>
      </c>
      <c r="AJ605" s="410">
        <f t="shared" ref="AJ605" si="1724">AJ604</f>
        <v>0</v>
      </c>
      <c r="AK605" s="410">
        <f t="shared" ref="AK605" si="1725">AK604</f>
        <v>0</v>
      </c>
      <c r="AL605" s="410">
        <f t="shared" ref="AL605" si="1726">AL604</f>
        <v>0</v>
      </c>
      <c r="AM605" s="297"/>
    </row>
    <row r="606" spans="1:39" ht="15.75" hidden="1" outlineLevel="2">
      <c r="A606" s="527"/>
      <c r="B606" s="298"/>
      <c r="C606" s="299"/>
      <c r="D606" s="299"/>
      <c r="E606" s="299"/>
      <c r="F606" s="299"/>
      <c r="G606" s="299"/>
      <c r="H606" s="299"/>
      <c r="I606" s="299"/>
      <c r="J606" s="299"/>
      <c r="K606" s="299"/>
      <c r="L606" s="299"/>
      <c r="M606" s="299"/>
      <c r="N606" s="300"/>
      <c r="O606" s="299"/>
      <c r="P606" s="299"/>
      <c r="Q606" s="299"/>
      <c r="R606" s="299"/>
      <c r="S606" s="299"/>
      <c r="T606" s="299"/>
      <c r="U606" s="299"/>
      <c r="V606" s="299"/>
      <c r="W606" s="299"/>
      <c r="X606" s="299"/>
      <c r="Y606" s="411"/>
      <c r="Z606" s="412"/>
      <c r="AA606" s="412"/>
      <c r="AB606" s="412"/>
      <c r="AC606" s="412"/>
      <c r="AD606" s="412"/>
      <c r="AE606" s="412"/>
      <c r="AF606" s="412"/>
      <c r="AG606" s="412"/>
      <c r="AH606" s="412"/>
      <c r="AI606" s="412"/>
      <c r="AJ606" s="412"/>
      <c r="AK606" s="412"/>
      <c r="AL606" s="412"/>
      <c r="AM606" s="302"/>
    </row>
    <row r="607" spans="1:39" ht="30" hidden="1" outlineLevel="2">
      <c r="A607" s="527">
        <v>2</v>
      </c>
      <c r="B607" s="425" t="s">
        <v>96</v>
      </c>
      <c r="C607" s="291" t="s">
        <v>25</v>
      </c>
      <c r="D607" s="295"/>
      <c r="E607" s="295"/>
      <c r="F607" s="295"/>
      <c r="G607" s="295"/>
      <c r="H607" s="295"/>
      <c r="I607" s="295"/>
      <c r="J607" s="295"/>
      <c r="K607" s="295"/>
      <c r="L607" s="295"/>
      <c r="M607" s="295"/>
      <c r="N607" s="291"/>
      <c r="O607" s="295"/>
      <c r="P607" s="295"/>
      <c r="Q607" s="295"/>
      <c r="R607" s="295"/>
      <c r="S607" s="295"/>
      <c r="T607" s="295"/>
      <c r="U607" s="295"/>
      <c r="V607" s="295"/>
      <c r="W607" s="295"/>
      <c r="X607" s="295"/>
      <c r="Y607" s="409"/>
      <c r="Z607" s="409"/>
      <c r="AA607" s="409"/>
      <c r="AB607" s="409"/>
      <c r="AC607" s="409"/>
      <c r="AD607" s="409"/>
      <c r="AE607" s="409"/>
      <c r="AF607" s="409"/>
      <c r="AG607" s="409"/>
      <c r="AH607" s="409"/>
      <c r="AI607" s="409"/>
      <c r="AJ607" s="409"/>
      <c r="AK607" s="409"/>
      <c r="AL607" s="409"/>
      <c r="AM607" s="296">
        <f>SUM(Y607:AL607)</f>
        <v>0</v>
      </c>
    </row>
    <row r="608" spans="1:39" hidden="1" outlineLevel="2">
      <c r="A608" s="527"/>
      <c r="B608" s="294" t="s">
        <v>310</v>
      </c>
      <c r="C608" s="291" t="s">
        <v>163</v>
      </c>
      <c r="D608" s="295"/>
      <c r="E608" s="295"/>
      <c r="F608" s="295"/>
      <c r="G608" s="295"/>
      <c r="H608" s="295"/>
      <c r="I608" s="295"/>
      <c r="J608" s="295"/>
      <c r="K608" s="295"/>
      <c r="L608" s="295"/>
      <c r="M608" s="295"/>
      <c r="N608" s="464"/>
      <c r="O608" s="295"/>
      <c r="P608" s="295"/>
      <c r="Q608" s="295"/>
      <c r="R608" s="295"/>
      <c r="S608" s="295"/>
      <c r="T608" s="295"/>
      <c r="U608" s="295"/>
      <c r="V608" s="295"/>
      <c r="W608" s="295"/>
      <c r="X608" s="295"/>
      <c r="Y608" s="410">
        <f>Y607</f>
        <v>0</v>
      </c>
      <c r="Z608" s="410">
        <f t="shared" ref="Z608" si="1727">Z607</f>
        <v>0</v>
      </c>
      <c r="AA608" s="410">
        <f t="shared" ref="AA608" si="1728">AA607</f>
        <v>0</v>
      </c>
      <c r="AB608" s="410">
        <f t="shared" ref="AB608" si="1729">AB607</f>
        <v>0</v>
      </c>
      <c r="AC608" s="410">
        <f t="shared" ref="AC608" si="1730">AC607</f>
        <v>0</v>
      </c>
      <c r="AD608" s="410">
        <f t="shared" ref="AD608" si="1731">AD607</f>
        <v>0</v>
      </c>
      <c r="AE608" s="410">
        <f t="shared" ref="AE608" si="1732">AE607</f>
        <v>0</v>
      </c>
      <c r="AF608" s="410">
        <f t="shared" ref="AF608" si="1733">AF607</f>
        <v>0</v>
      </c>
      <c r="AG608" s="410">
        <f t="shared" ref="AG608" si="1734">AG607</f>
        <v>0</v>
      </c>
      <c r="AH608" s="410">
        <f t="shared" ref="AH608" si="1735">AH607</f>
        <v>0</v>
      </c>
      <c r="AI608" s="410">
        <f t="shared" ref="AI608" si="1736">AI607</f>
        <v>0</v>
      </c>
      <c r="AJ608" s="410">
        <f t="shared" ref="AJ608" si="1737">AJ607</f>
        <v>0</v>
      </c>
      <c r="AK608" s="410">
        <f t="shared" ref="AK608" si="1738">AK607</f>
        <v>0</v>
      </c>
      <c r="AL608" s="410">
        <f t="shared" ref="AL608" si="1739">AL607</f>
        <v>0</v>
      </c>
      <c r="AM608" s="297"/>
    </row>
    <row r="609" spans="1:39" ht="15.75" hidden="1" outlineLevel="2">
      <c r="A609" s="527"/>
      <c r="B609" s="298"/>
      <c r="C609" s="299"/>
      <c r="D609" s="304"/>
      <c r="E609" s="304"/>
      <c r="F609" s="304"/>
      <c r="G609" s="304"/>
      <c r="H609" s="304"/>
      <c r="I609" s="304"/>
      <c r="J609" s="304"/>
      <c r="K609" s="304"/>
      <c r="L609" s="304"/>
      <c r="M609" s="304"/>
      <c r="N609" s="300"/>
      <c r="O609" s="304"/>
      <c r="P609" s="304"/>
      <c r="Q609" s="304"/>
      <c r="R609" s="304"/>
      <c r="S609" s="304"/>
      <c r="T609" s="304"/>
      <c r="U609" s="304"/>
      <c r="V609" s="304"/>
      <c r="W609" s="304"/>
      <c r="X609" s="304"/>
      <c r="Y609" s="411"/>
      <c r="Z609" s="412"/>
      <c r="AA609" s="412"/>
      <c r="AB609" s="412"/>
      <c r="AC609" s="412"/>
      <c r="AD609" s="412"/>
      <c r="AE609" s="412"/>
      <c r="AF609" s="412"/>
      <c r="AG609" s="412"/>
      <c r="AH609" s="412"/>
      <c r="AI609" s="412"/>
      <c r="AJ609" s="412"/>
      <c r="AK609" s="412"/>
      <c r="AL609" s="412"/>
      <c r="AM609" s="302"/>
    </row>
    <row r="610" spans="1:39" ht="30" hidden="1" outlineLevel="2">
      <c r="A610" s="527">
        <v>3</v>
      </c>
      <c r="B610" s="425" t="s">
        <v>97</v>
      </c>
      <c r="C610" s="291" t="s">
        <v>25</v>
      </c>
      <c r="D610" s="295"/>
      <c r="E610" s="295"/>
      <c r="F610" s="295"/>
      <c r="G610" s="295"/>
      <c r="H610" s="295"/>
      <c r="I610" s="295"/>
      <c r="J610" s="295"/>
      <c r="K610" s="295"/>
      <c r="L610" s="295"/>
      <c r="M610" s="295"/>
      <c r="N610" s="291"/>
      <c r="O610" s="295"/>
      <c r="P610" s="295"/>
      <c r="Q610" s="295"/>
      <c r="R610" s="295"/>
      <c r="S610" s="295"/>
      <c r="T610" s="295"/>
      <c r="U610" s="295"/>
      <c r="V610" s="295"/>
      <c r="W610" s="295"/>
      <c r="X610" s="295"/>
      <c r="Y610" s="409"/>
      <c r="Z610" s="409"/>
      <c r="AA610" s="409"/>
      <c r="AB610" s="409"/>
      <c r="AC610" s="409"/>
      <c r="AD610" s="409"/>
      <c r="AE610" s="409"/>
      <c r="AF610" s="409"/>
      <c r="AG610" s="409"/>
      <c r="AH610" s="409"/>
      <c r="AI610" s="409"/>
      <c r="AJ610" s="409"/>
      <c r="AK610" s="409"/>
      <c r="AL610" s="409"/>
      <c r="AM610" s="296">
        <f>SUM(Y610:AL610)</f>
        <v>0</v>
      </c>
    </row>
    <row r="611" spans="1:39" hidden="1" outlineLevel="2">
      <c r="A611" s="527"/>
      <c r="B611" s="294" t="s">
        <v>310</v>
      </c>
      <c r="C611" s="291" t="s">
        <v>163</v>
      </c>
      <c r="D611" s="295"/>
      <c r="E611" s="295"/>
      <c r="F611" s="295"/>
      <c r="G611" s="295"/>
      <c r="H611" s="295"/>
      <c r="I611" s="295"/>
      <c r="J611" s="295"/>
      <c r="K611" s="295"/>
      <c r="L611" s="295"/>
      <c r="M611" s="295"/>
      <c r="N611" s="464"/>
      <c r="O611" s="295"/>
      <c r="P611" s="295"/>
      <c r="Q611" s="295"/>
      <c r="R611" s="295"/>
      <c r="S611" s="295"/>
      <c r="T611" s="295"/>
      <c r="U611" s="295"/>
      <c r="V611" s="295"/>
      <c r="W611" s="295"/>
      <c r="X611" s="295"/>
      <c r="Y611" s="410">
        <f>Y610</f>
        <v>0</v>
      </c>
      <c r="Z611" s="410">
        <f t="shared" ref="Z611" si="1740">Z610</f>
        <v>0</v>
      </c>
      <c r="AA611" s="410">
        <f t="shared" ref="AA611" si="1741">AA610</f>
        <v>0</v>
      </c>
      <c r="AB611" s="410">
        <f t="shared" ref="AB611" si="1742">AB610</f>
        <v>0</v>
      </c>
      <c r="AC611" s="410">
        <f t="shared" ref="AC611" si="1743">AC610</f>
        <v>0</v>
      </c>
      <c r="AD611" s="410">
        <f t="shared" ref="AD611" si="1744">AD610</f>
        <v>0</v>
      </c>
      <c r="AE611" s="410">
        <f t="shared" ref="AE611" si="1745">AE610</f>
        <v>0</v>
      </c>
      <c r="AF611" s="410">
        <f t="shared" ref="AF611" si="1746">AF610</f>
        <v>0</v>
      </c>
      <c r="AG611" s="410">
        <f t="shared" ref="AG611" si="1747">AG610</f>
        <v>0</v>
      </c>
      <c r="AH611" s="410">
        <f t="shared" ref="AH611" si="1748">AH610</f>
        <v>0</v>
      </c>
      <c r="AI611" s="410">
        <f t="shared" ref="AI611" si="1749">AI610</f>
        <v>0</v>
      </c>
      <c r="AJ611" s="410">
        <f t="shared" ref="AJ611" si="1750">AJ610</f>
        <v>0</v>
      </c>
      <c r="AK611" s="410">
        <f t="shared" ref="AK611" si="1751">AK610</f>
        <v>0</v>
      </c>
      <c r="AL611" s="410">
        <f t="shared" ref="AL611" si="1752">AL610</f>
        <v>0</v>
      </c>
      <c r="AM611" s="297"/>
    </row>
    <row r="612" spans="1:39" hidden="1" outlineLevel="2">
      <c r="A612" s="527"/>
      <c r="B612" s="294"/>
      <c r="C612" s="305"/>
      <c r="D612" s="291"/>
      <c r="E612" s="291"/>
      <c r="F612" s="291"/>
      <c r="G612" s="291"/>
      <c r="H612" s="291"/>
      <c r="I612" s="291"/>
      <c r="J612" s="291"/>
      <c r="K612" s="291"/>
      <c r="L612" s="291"/>
      <c r="M612" s="291"/>
      <c r="N612" s="291"/>
      <c r="O612" s="291"/>
      <c r="P612" s="291"/>
      <c r="Q612" s="291"/>
      <c r="R612" s="291"/>
      <c r="S612" s="291"/>
      <c r="T612" s="291"/>
      <c r="U612" s="291"/>
      <c r="V612" s="291"/>
      <c r="W612" s="291"/>
      <c r="X612" s="291"/>
      <c r="Y612" s="411"/>
      <c r="Z612" s="411"/>
      <c r="AA612" s="411"/>
      <c r="AB612" s="411"/>
      <c r="AC612" s="411"/>
      <c r="AD612" s="411"/>
      <c r="AE612" s="411"/>
      <c r="AF612" s="411"/>
      <c r="AG612" s="411"/>
      <c r="AH612" s="411"/>
      <c r="AI612" s="411"/>
      <c r="AJ612" s="411"/>
      <c r="AK612" s="411"/>
      <c r="AL612" s="411"/>
      <c r="AM612" s="306"/>
    </row>
    <row r="613" spans="1:39" hidden="1" outlineLevel="2">
      <c r="A613" s="527">
        <v>4</v>
      </c>
      <c r="B613" s="515" t="s">
        <v>672</v>
      </c>
      <c r="C613" s="291" t="s">
        <v>25</v>
      </c>
      <c r="D613" s="295"/>
      <c r="E613" s="295"/>
      <c r="F613" s="295"/>
      <c r="G613" s="295"/>
      <c r="H613" s="295"/>
      <c r="I613" s="295"/>
      <c r="J613" s="295"/>
      <c r="K613" s="295"/>
      <c r="L613" s="295"/>
      <c r="M613" s="295"/>
      <c r="N613" s="291"/>
      <c r="O613" s="295"/>
      <c r="P613" s="295"/>
      <c r="Q613" s="295"/>
      <c r="R613" s="295"/>
      <c r="S613" s="295"/>
      <c r="T613" s="295"/>
      <c r="U613" s="295"/>
      <c r="V613" s="295"/>
      <c r="W613" s="295"/>
      <c r="X613" s="295"/>
      <c r="Y613" s="409"/>
      <c r="Z613" s="409"/>
      <c r="AA613" s="409"/>
      <c r="AB613" s="409"/>
      <c r="AC613" s="409"/>
      <c r="AD613" s="409"/>
      <c r="AE613" s="409"/>
      <c r="AF613" s="409"/>
      <c r="AG613" s="409"/>
      <c r="AH613" s="409"/>
      <c r="AI613" s="409"/>
      <c r="AJ613" s="409"/>
      <c r="AK613" s="409"/>
      <c r="AL613" s="409"/>
      <c r="AM613" s="296">
        <f>SUM(Y613:AL613)</f>
        <v>0</v>
      </c>
    </row>
    <row r="614" spans="1:39" hidden="1" outlineLevel="2">
      <c r="A614" s="527"/>
      <c r="B614" s="294" t="s">
        <v>310</v>
      </c>
      <c r="C614" s="291" t="s">
        <v>163</v>
      </c>
      <c r="D614" s="295"/>
      <c r="E614" s="295"/>
      <c r="F614" s="295"/>
      <c r="G614" s="295"/>
      <c r="H614" s="295"/>
      <c r="I614" s="295"/>
      <c r="J614" s="295"/>
      <c r="K614" s="295"/>
      <c r="L614" s="295"/>
      <c r="M614" s="295"/>
      <c r="N614" s="464"/>
      <c r="O614" s="295"/>
      <c r="P614" s="295"/>
      <c r="Q614" s="295"/>
      <c r="R614" s="295"/>
      <c r="S614" s="295"/>
      <c r="T614" s="295"/>
      <c r="U614" s="295"/>
      <c r="V614" s="295"/>
      <c r="W614" s="295"/>
      <c r="X614" s="295"/>
      <c r="Y614" s="410">
        <f>Y613</f>
        <v>0</v>
      </c>
      <c r="Z614" s="410">
        <f t="shared" ref="Z614" si="1753">Z613</f>
        <v>0</v>
      </c>
      <c r="AA614" s="410">
        <f t="shared" ref="AA614" si="1754">AA613</f>
        <v>0</v>
      </c>
      <c r="AB614" s="410">
        <f t="shared" ref="AB614" si="1755">AB613</f>
        <v>0</v>
      </c>
      <c r="AC614" s="410">
        <f t="shared" ref="AC614" si="1756">AC613</f>
        <v>0</v>
      </c>
      <c r="AD614" s="410">
        <f t="shared" ref="AD614" si="1757">AD613</f>
        <v>0</v>
      </c>
      <c r="AE614" s="410">
        <f t="shared" ref="AE614" si="1758">AE613</f>
        <v>0</v>
      </c>
      <c r="AF614" s="410">
        <f t="shared" ref="AF614" si="1759">AF613</f>
        <v>0</v>
      </c>
      <c r="AG614" s="410">
        <f t="shared" ref="AG614" si="1760">AG613</f>
        <v>0</v>
      </c>
      <c r="AH614" s="410">
        <f t="shared" ref="AH614" si="1761">AH613</f>
        <v>0</v>
      </c>
      <c r="AI614" s="410">
        <f t="shared" ref="AI614" si="1762">AI613</f>
        <v>0</v>
      </c>
      <c r="AJ614" s="410">
        <f t="shared" ref="AJ614" si="1763">AJ613</f>
        <v>0</v>
      </c>
      <c r="AK614" s="410">
        <f t="shared" ref="AK614" si="1764">AK613</f>
        <v>0</v>
      </c>
      <c r="AL614" s="410">
        <f t="shared" ref="AL614" si="1765">AL613</f>
        <v>0</v>
      </c>
      <c r="AM614" s="297"/>
    </row>
    <row r="615" spans="1:39" hidden="1" outlineLevel="2">
      <c r="A615" s="527"/>
      <c r="B615" s="294"/>
      <c r="C615" s="305"/>
      <c r="D615" s="304"/>
      <c r="E615" s="304"/>
      <c r="F615" s="304"/>
      <c r="G615" s="304"/>
      <c r="H615" s="304"/>
      <c r="I615" s="304"/>
      <c r="J615" s="304"/>
      <c r="K615" s="304"/>
      <c r="L615" s="304"/>
      <c r="M615" s="304"/>
      <c r="N615" s="291"/>
      <c r="O615" s="304"/>
      <c r="P615" s="304"/>
      <c r="Q615" s="304"/>
      <c r="R615" s="304"/>
      <c r="S615" s="304"/>
      <c r="T615" s="304"/>
      <c r="U615" s="304"/>
      <c r="V615" s="304"/>
      <c r="W615" s="304"/>
      <c r="X615" s="304"/>
      <c r="Y615" s="411"/>
      <c r="Z615" s="411"/>
      <c r="AA615" s="411"/>
      <c r="AB615" s="411"/>
      <c r="AC615" s="411"/>
      <c r="AD615" s="411"/>
      <c r="AE615" s="411"/>
      <c r="AF615" s="411"/>
      <c r="AG615" s="411"/>
      <c r="AH615" s="411"/>
      <c r="AI615" s="411"/>
      <c r="AJ615" s="411"/>
      <c r="AK615" s="411"/>
      <c r="AL615" s="411"/>
      <c r="AM615" s="306"/>
    </row>
    <row r="616" spans="1:39" ht="15.75" hidden="1" customHeight="1" outlineLevel="2">
      <c r="A616" s="527">
        <v>5</v>
      </c>
      <c r="B616" s="425" t="s">
        <v>98</v>
      </c>
      <c r="C616" s="291" t="s">
        <v>25</v>
      </c>
      <c r="D616" s="295"/>
      <c r="E616" s="295"/>
      <c r="F616" s="295"/>
      <c r="G616" s="295"/>
      <c r="H616" s="295"/>
      <c r="I616" s="295"/>
      <c r="J616" s="295"/>
      <c r="K616" s="295"/>
      <c r="L616" s="295"/>
      <c r="M616" s="295"/>
      <c r="N616" s="291"/>
      <c r="O616" s="295"/>
      <c r="P616" s="295"/>
      <c r="Q616" s="295"/>
      <c r="R616" s="295"/>
      <c r="S616" s="295"/>
      <c r="T616" s="295"/>
      <c r="U616" s="295"/>
      <c r="V616" s="295"/>
      <c r="W616" s="295"/>
      <c r="X616" s="295"/>
      <c r="Y616" s="409"/>
      <c r="Z616" s="409"/>
      <c r="AA616" s="409"/>
      <c r="AB616" s="409"/>
      <c r="AC616" s="409"/>
      <c r="AD616" s="409"/>
      <c r="AE616" s="409"/>
      <c r="AF616" s="409"/>
      <c r="AG616" s="409"/>
      <c r="AH616" s="409"/>
      <c r="AI616" s="409"/>
      <c r="AJ616" s="409"/>
      <c r="AK616" s="409"/>
      <c r="AL616" s="409"/>
      <c r="AM616" s="296">
        <f>SUM(Y616:AL616)</f>
        <v>0</v>
      </c>
    </row>
    <row r="617" spans="1:39" hidden="1" outlineLevel="2">
      <c r="A617" s="527"/>
      <c r="B617" s="294" t="s">
        <v>310</v>
      </c>
      <c r="C617" s="291" t="s">
        <v>163</v>
      </c>
      <c r="D617" s="295"/>
      <c r="E617" s="295"/>
      <c r="F617" s="295"/>
      <c r="G617" s="295"/>
      <c r="H617" s="295"/>
      <c r="I617" s="295"/>
      <c r="J617" s="295"/>
      <c r="K617" s="295"/>
      <c r="L617" s="295"/>
      <c r="M617" s="295"/>
      <c r="N617" s="464"/>
      <c r="O617" s="295"/>
      <c r="P617" s="295"/>
      <c r="Q617" s="295"/>
      <c r="R617" s="295"/>
      <c r="S617" s="295"/>
      <c r="T617" s="295"/>
      <c r="U617" s="295"/>
      <c r="V617" s="295"/>
      <c r="W617" s="295"/>
      <c r="X617" s="295"/>
      <c r="Y617" s="410">
        <f>Y616</f>
        <v>0</v>
      </c>
      <c r="Z617" s="410">
        <f t="shared" ref="Z617" si="1766">Z616</f>
        <v>0</v>
      </c>
      <c r="AA617" s="410">
        <f t="shared" ref="AA617" si="1767">AA616</f>
        <v>0</v>
      </c>
      <c r="AB617" s="410">
        <f t="shared" ref="AB617" si="1768">AB616</f>
        <v>0</v>
      </c>
      <c r="AC617" s="410">
        <f t="shared" ref="AC617" si="1769">AC616</f>
        <v>0</v>
      </c>
      <c r="AD617" s="410">
        <f t="shared" ref="AD617" si="1770">AD616</f>
        <v>0</v>
      </c>
      <c r="AE617" s="410">
        <f t="shared" ref="AE617" si="1771">AE616</f>
        <v>0</v>
      </c>
      <c r="AF617" s="410">
        <f t="shared" ref="AF617" si="1772">AF616</f>
        <v>0</v>
      </c>
      <c r="AG617" s="410">
        <f t="shared" ref="AG617" si="1773">AG616</f>
        <v>0</v>
      </c>
      <c r="AH617" s="410">
        <f t="shared" ref="AH617" si="1774">AH616</f>
        <v>0</v>
      </c>
      <c r="AI617" s="410">
        <f t="shared" ref="AI617" si="1775">AI616</f>
        <v>0</v>
      </c>
      <c r="AJ617" s="410">
        <f t="shared" ref="AJ617" si="1776">AJ616</f>
        <v>0</v>
      </c>
      <c r="AK617" s="410">
        <f t="shared" ref="AK617" si="1777">AK616</f>
        <v>0</v>
      </c>
      <c r="AL617" s="410">
        <f t="shared" ref="AL617" si="1778">AL616</f>
        <v>0</v>
      </c>
      <c r="AM617" s="297"/>
    </row>
    <row r="618" spans="1:39" hidden="1" outlineLevel="2">
      <c r="A618" s="527"/>
      <c r="B618" s="294"/>
      <c r="C618" s="291"/>
      <c r="D618" s="291"/>
      <c r="E618" s="291"/>
      <c r="F618" s="291"/>
      <c r="G618" s="291"/>
      <c r="H618" s="291"/>
      <c r="I618" s="291"/>
      <c r="J618" s="291"/>
      <c r="K618" s="291"/>
      <c r="L618" s="291"/>
      <c r="M618" s="291"/>
      <c r="N618" s="291"/>
      <c r="O618" s="291"/>
      <c r="P618" s="291"/>
      <c r="Q618" s="291"/>
      <c r="R618" s="291"/>
      <c r="S618" s="291"/>
      <c r="T618" s="291"/>
      <c r="U618" s="291"/>
      <c r="V618" s="291"/>
      <c r="W618" s="291"/>
      <c r="X618" s="291"/>
      <c r="Y618" s="419"/>
      <c r="Z618" s="420"/>
      <c r="AA618" s="420"/>
      <c r="AB618" s="420"/>
      <c r="AC618" s="420"/>
      <c r="AD618" s="420"/>
      <c r="AE618" s="420"/>
      <c r="AF618" s="420"/>
      <c r="AG618" s="420"/>
      <c r="AH618" s="420"/>
      <c r="AI618" s="420"/>
      <c r="AJ618" s="420"/>
      <c r="AK618" s="420"/>
      <c r="AL618" s="420"/>
      <c r="AM618" s="297"/>
    </row>
    <row r="619" spans="1:39" ht="31.5" hidden="1" outlineLevel="2">
      <c r="A619" s="527"/>
      <c r="B619" s="318" t="s">
        <v>498</v>
      </c>
      <c r="C619" s="289"/>
      <c r="D619" s="289"/>
      <c r="E619" s="289"/>
      <c r="F619" s="289"/>
      <c r="G619" s="289"/>
      <c r="H619" s="289"/>
      <c r="I619" s="289"/>
      <c r="J619" s="289"/>
      <c r="K619" s="289"/>
      <c r="L619" s="289"/>
      <c r="M619" s="289"/>
      <c r="N619" s="290"/>
      <c r="O619" s="289"/>
      <c r="P619" s="289"/>
      <c r="Q619" s="289"/>
      <c r="R619" s="289"/>
      <c r="S619" s="289"/>
      <c r="T619" s="289"/>
      <c r="U619" s="289"/>
      <c r="V619" s="289"/>
      <c r="W619" s="289"/>
      <c r="X619" s="289"/>
      <c r="Y619" s="413"/>
      <c r="Z619" s="413"/>
      <c r="AA619" s="413"/>
      <c r="AB619" s="413"/>
      <c r="AC619" s="413"/>
      <c r="AD619" s="413"/>
      <c r="AE619" s="413"/>
      <c r="AF619" s="413"/>
      <c r="AG619" s="413"/>
      <c r="AH619" s="413"/>
      <c r="AI619" s="413"/>
      <c r="AJ619" s="413"/>
      <c r="AK619" s="413"/>
      <c r="AL619" s="413"/>
      <c r="AM619" s="292"/>
    </row>
    <row r="620" spans="1:39" hidden="1" outlineLevel="2">
      <c r="A620" s="527">
        <v>6</v>
      </c>
      <c r="B620" s="425" t="s">
        <v>99</v>
      </c>
      <c r="C620" s="291" t="s">
        <v>25</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414"/>
      <c r="Z620" s="409"/>
      <c r="AA620" s="409"/>
      <c r="AB620" s="409"/>
      <c r="AC620" s="409"/>
      <c r="AD620" s="409"/>
      <c r="AE620" s="409"/>
      <c r="AF620" s="414"/>
      <c r="AG620" s="414"/>
      <c r="AH620" s="414"/>
      <c r="AI620" s="414"/>
      <c r="AJ620" s="414"/>
      <c r="AK620" s="414"/>
      <c r="AL620" s="414"/>
      <c r="AM620" s="296">
        <f>SUM(Y620:AL620)</f>
        <v>0</v>
      </c>
    </row>
    <row r="621" spans="1:39" hidden="1" outlineLevel="2">
      <c r="A621" s="527"/>
      <c r="B621" s="294" t="s">
        <v>310</v>
      </c>
      <c r="C621" s="291" t="s">
        <v>163</v>
      </c>
      <c r="D621" s="295"/>
      <c r="E621" s="295"/>
      <c r="F621" s="295"/>
      <c r="G621" s="295"/>
      <c r="H621" s="295"/>
      <c r="I621" s="295"/>
      <c r="J621" s="295"/>
      <c r="K621" s="295"/>
      <c r="L621" s="295"/>
      <c r="M621" s="295"/>
      <c r="N621" s="295">
        <f>N620</f>
        <v>12</v>
      </c>
      <c r="O621" s="295"/>
      <c r="P621" s="295"/>
      <c r="Q621" s="295"/>
      <c r="R621" s="295"/>
      <c r="S621" s="295"/>
      <c r="T621" s="295"/>
      <c r="U621" s="295"/>
      <c r="V621" s="295"/>
      <c r="W621" s="295"/>
      <c r="X621" s="295"/>
      <c r="Y621" s="410">
        <f>Y620</f>
        <v>0</v>
      </c>
      <c r="Z621" s="410">
        <f t="shared" ref="Z621" si="1779">Z620</f>
        <v>0</v>
      </c>
      <c r="AA621" s="410">
        <f t="shared" ref="AA621" si="1780">AA620</f>
        <v>0</v>
      </c>
      <c r="AB621" s="410">
        <f t="shared" ref="AB621" si="1781">AB620</f>
        <v>0</v>
      </c>
      <c r="AC621" s="410">
        <f t="shared" ref="AC621" si="1782">AC620</f>
        <v>0</v>
      </c>
      <c r="AD621" s="410">
        <f t="shared" ref="AD621" si="1783">AD620</f>
        <v>0</v>
      </c>
      <c r="AE621" s="410">
        <f t="shared" ref="AE621" si="1784">AE620</f>
        <v>0</v>
      </c>
      <c r="AF621" s="410">
        <f t="shared" ref="AF621" si="1785">AF620</f>
        <v>0</v>
      </c>
      <c r="AG621" s="410">
        <f t="shared" ref="AG621" si="1786">AG620</f>
        <v>0</v>
      </c>
      <c r="AH621" s="410">
        <f t="shared" ref="AH621" si="1787">AH620</f>
        <v>0</v>
      </c>
      <c r="AI621" s="410">
        <f t="shared" ref="AI621" si="1788">AI620</f>
        <v>0</v>
      </c>
      <c r="AJ621" s="410">
        <f t="shared" ref="AJ621" si="1789">AJ620</f>
        <v>0</v>
      </c>
      <c r="AK621" s="410">
        <f t="shared" ref="AK621" si="1790">AK620</f>
        <v>0</v>
      </c>
      <c r="AL621" s="410">
        <f t="shared" ref="AL621" si="1791">AL620</f>
        <v>0</v>
      </c>
      <c r="AM621" s="311"/>
    </row>
    <row r="622" spans="1:39" hidden="1" outlineLevel="2">
      <c r="A622" s="527"/>
      <c r="B622" s="310"/>
      <c r="C622" s="312"/>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15"/>
      <c r="Z622" s="415"/>
      <c r="AA622" s="415"/>
      <c r="AB622" s="415"/>
      <c r="AC622" s="415"/>
      <c r="AD622" s="415"/>
      <c r="AE622" s="415"/>
      <c r="AF622" s="415"/>
      <c r="AG622" s="415"/>
      <c r="AH622" s="415"/>
      <c r="AI622" s="415"/>
      <c r="AJ622" s="415"/>
      <c r="AK622" s="415"/>
      <c r="AL622" s="415"/>
      <c r="AM622" s="313"/>
    </row>
    <row r="623" spans="1:39" ht="45" hidden="1" outlineLevel="2">
      <c r="A623" s="527">
        <v>7</v>
      </c>
      <c r="B623" s="425" t="s">
        <v>100</v>
      </c>
      <c r="C623" s="291" t="s">
        <v>25</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414"/>
      <c r="Z623" s="409"/>
      <c r="AA623" s="409"/>
      <c r="AB623" s="409"/>
      <c r="AC623" s="409"/>
      <c r="AD623" s="409"/>
      <c r="AE623" s="409"/>
      <c r="AF623" s="414"/>
      <c r="AG623" s="414"/>
      <c r="AH623" s="414"/>
      <c r="AI623" s="414"/>
      <c r="AJ623" s="414"/>
      <c r="AK623" s="414"/>
      <c r="AL623" s="414"/>
      <c r="AM623" s="296">
        <f>SUM(Y623:AL623)</f>
        <v>0</v>
      </c>
    </row>
    <row r="624" spans="1:39" hidden="1" outlineLevel="2">
      <c r="A624" s="527"/>
      <c r="B624" s="294" t="s">
        <v>310</v>
      </c>
      <c r="C624" s="291" t="s">
        <v>163</v>
      </c>
      <c r="D624" s="295"/>
      <c r="E624" s="295"/>
      <c r="F624" s="295"/>
      <c r="G624" s="295"/>
      <c r="H624" s="295"/>
      <c r="I624" s="295"/>
      <c r="J624" s="295"/>
      <c r="K624" s="295"/>
      <c r="L624" s="295"/>
      <c r="M624" s="295"/>
      <c r="N624" s="295">
        <f>N623</f>
        <v>12</v>
      </c>
      <c r="O624" s="295"/>
      <c r="P624" s="295"/>
      <c r="Q624" s="295"/>
      <c r="R624" s="295"/>
      <c r="S624" s="295"/>
      <c r="T624" s="295"/>
      <c r="U624" s="295"/>
      <c r="V624" s="295"/>
      <c r="W624" s="295"/>
      <c r="X624" s="295"/>
      <c r="Y624" s="410">
        <f>Y623</f>
        <v>0</v>
      </c>
      <c r="Z624" s="410">
        <f t="shared" ref="Z624" si="1792">Z623</f>
        <v>0</v>
      </c>
      <c r="AA624" s="410">
        <f t="shared" ref="AA624" si="1793">AA623</f>
        <v>0</v>
      </c>
      <c r="AB624" s="410">
        <f t="shared" ref="AB624" si="1794">AB623</f>
        <v>0</v>
      </c>
      <c r="AC624" s="410">
        <f t="shared" ref="AC624" si="1795">AC623</f>
        <v>0</v>
      </c>
      <c r="AD624" s="410">
        <f t="shared" ref="AD624" si="1796">AD623</f>
        <v>0</v>
      </c>
      <c r="AE624" s="410">
        <f t="shared" ref="AE624" si="1797">AE623</f>
        <v>0</v>
      </c>
      <c r="AF624" s="410">
        <f t="shared" ref="AF624" si="1798">AF623</f>
        <v>0</v>
      </c>
      <c r="AG624" s="410">
        <f t="shared" ref="AG624" si="1799">AG623</f>
        <v>0</v>
      </c>
      <c r="AH624" s="410">
        <f t="shared" ref="AH624" si="1800">AH623</f>
        <v>0</v>
      </c>
      <c r="AI624" s="410">
        <f t="shared" ref="AI624" si="1801">AI623</f>
        <v>0</v>
      </c>
      <c r="AJ624" s="410">
        <f t="shared" ref="AJ624" si="1802">AJ623</f>
        <v>0</v>
      </c>
      <c r="AK624" s="410">
        <f t="shared" ref="AK624" si="1803">AK623</f>
        <v>0</v>
      </c>
      <c r="AL624" s="410">
        <f t="shared" ref="AL624" si="1804">AL623</f>
        <v>0</v>
      </c>
      <c r="AM624" s="311"/>
    </row>
    <row r="625" spans="1:39" hidden="1" outlineLevel="2">
      <c r="A625" s="527"/>
      <c r="B625" s="314"/>
      <c r="C625" s="312"/>
      <c r="D625" s="291"/>
      <c r="E625" s="291"/>
      <c r="F625" s="291"/>
      <c r="G625" s="291"/>
      <c r="H625" s="291"/>
      <c r="I625" s="291"/>
      <c r="J625" s="291"/>
      <c r="K625" s="291"/>
      <c r="L625" s="291"/>
      <c r="M625" s="291"/>
      <c r="N625" s="291"/>
      <c r="O625" s="291"/>
      <c r="P625" s="291"/>
      <c r="Q625" s="291"/>
      <c r="R625" s="291"/>
      <c r="S625" s="291"/>
      <c r="T625" s="291"/>
      <c r="U625" s="291"/>
      <c r="V625" s="291"/>
      <c r="W625" s="291"/>
      <c r="X625" s="291"/>
      <c r="Y625" s="415"/>
      <c r="Z625" s="416"/>
      <c r="AA625" s="415"/>
      <c r="AB625" s="415"/>
      <c r="AC625" s="415"/>
      <c r="AD625" s="415"/>
      <c r="AE625" s="415"/>
      <c r="AF625" s="415"/>
      <c r="AG625" s="415"/>
      <c r="AH625" s="415"/>
      <c r="AI625" s="415"/>
      <c r="AJ625" s="415"/>
      <c r="AK625" s="415"/>
      <c r="AL625" s="415"/>
      <c r="AM625" s="313"/>
    </row>
    <row r="626" spans="1:39" ht="30" hidden="1" outlineLevel="2">
      <c r="A626" s="527">
        <v>8</v>
      </c>
      <c r="B626" s="425" t="s">
        <v>101</v>
      </c>
      <c r="C626" s="291" t="s">
        <v>25</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414"/>
      <c r="Z626" s="409"/>
      <c r="AA626" s="409"/>
      <c r="AB626" s="409"/>
      <c r="AC626" s="409"/>
      <c r="AD626" s="409"/>
      <c r="AE626" s="409"/>
      <c r="AF626" s="414"/>
      <c r="AG626" s="414"/>
      <c r="AH626" s="414"/>
      <c r="AI626" s="414"/>
      <c r="AJ626" s="414"/>
      <c r="AK626" s="414"/>
      <c r="AL626" s="414"/>
      <c r="AM626" s="296">
        <f>SUM(Y626:AL626)</f>
        <v>0</v>
      </c>
    </row>
    <row r="627" spans="1:39" hidden="1" outlineLevel="2">
      <c r="A627" s="527"/>
      <c r="B627" s="294" t="s">
        <v>310</v>
      </c>
      <c r="C627" s="291" t="s">
        <v>163</v>
      </c>
      <c r="D627" s="295"/>
      <c r="E627" s="295"/>
      <c r="F627" s="295"/>
      <c r="G627" s="295"/>
      <c r="H627" s="295"/>
      <c r="I627" s="295"/>
      <c r="J627" s="295"/>
      <c r="K627" s="295"/>
      <c r="L627" s="295"/>
      <c r="M627" s="295"/>
      <c r="N627" s="295">
        <f>N626</f>
        <v>12</v>
      </c>
      <c r="O627" s="295"/>
      <c r="P627" s="295"/>
      <c r="Q627" s="295"/>
      <c r="R627" s="295"/>
      <c r="S627" s="295"/>
      <c r="T627" s="295"/>
      <c r="U627" s="295"/>
      <c r="V627" s="295"/>
      <c r="W627" s="295"/>
      <c r="X627" s="295"/>
      <c r="Y627" s="410">
        <f>Y626</f>
        <v>0</v>
      </c>
      <c r="Z627" s="410">
        <f t="shared" ref="Z627" si="1805">Z626</f>
        <v>0</v>
      </c>
      <c r="AA627" s="410">
        <f t="shared" ref="AA627" si="1806">AA626</f>
        <v>0</v>
      </c>
      <c r="AB627" s="410">
        <f t="shared" ref="AB627" si="1807">AB626</f>
        <v>0</v>
      </c>
      <c r="AC627" s="410">
        <f t="shared" ref="AC627" si="1808">AC626</f>
        <v>0</v>
      </c>
      <c r="AD627" s="410">
        <f t="shared" ref="AD627" si="1809">AD626</f>
        <v>0</v>
      </c>
      <c r="AE627" s="410">
        <f t="shared" ref="AE627" si="1810">AE626</f>
        <v>0</v>
      </c>
      <c r="AF627" s="410">
        <f t="shared" ref="AF627" si="1811">AF626</f>
        <v>0</v>
      </c>
      <c r="AG627" s="410">
        <f t="shared" ref="AG627" si="1812">AG626</f>
        <v>0</v>
      </c>
      <c r="AH627" s="410">
        <f t="shared" ref="AH627" si="1813">AH626</f>
        <v>0</v>
      </c>
      <c r="AI627" s="410">
        <f t="shared" ref="AI627" si="1814">AI626</f>
        <v>0</v>
      </c>
      <c r="AJ627" s="410">
        <f t="shared" ref="AJ627" si="1815">AJ626</f>
        <v>0</v>
      </c>
      <c r="AK627" s="410">
        <f t="shared" ref="AK627" si="1816">AK626</f>
        <v>0</v>
      </c>
      <c r="AL627" s="410">
        <f t="shared" ref="AL627" si="1817">AL626</f>
        <v>0</v>
      </c>
      <c r="AM627" s="311"/>
    </row>
    <row r="628" spans="1:39" hidden="1" outlineLevel="2">
      <c r="A628" s="527"/>
      <c r="B628" s="314"/>
      <c r="C628" s="312"/>
      <c r="D628" s="316"/>
      <c r="E628" s="316"/>
      <c r="F628" s="316"/>
      <c r="G628" s="316"/>
      <c r="H628" s="316"/>
      <c r="I628" s="316"/>
      <c r="J628" s="316"/>
      <c r="K628" s="316"/>
      <c r="L628" s="316"/>
      <c r="M628" s="316"/>
      <c r="N628" s="291"/>
      <c r="O628" s="316"/>
      <c r="P628" s="316"/>
      <c r="Q628" s="316"/>
      <c r="R628" s="316"/>
      <c r="S628" s="316"/>
      <c r="T628" s="316"/>
      <c r="U628" s="316"/>
      <c r="V628" s="316"/>
      <c r="W628" s="316"/>
      <c r="X628" s="316"/>
      <c r="Y628" s="415"/>
      <c r="Z628" s="416"/>
      <c r="AA628" s="415"/>
      <c r="AB628" s="415"/>
      <c r="AC628" s="415"/>
      <c r="AD628" s="415"/>
      <c r="AE628" s="415"/>
      <c r="AF628" s="415"/>
      <c r="AG628" s="415"/>
      <c r="AH628" s="415"/>
      <c r="AI628" s="415"/>
      <c r="AJ628" s="415"/>
      <c r="AK628" s="415"/>
      <c r="AL628" s="415"/>
      <c r="AM628" s="313"/>
    </row>
    <row r="629" spans="1:39" ht="30" hidden="1" outlineLevel="2">
      <c r="A629" s="527">
        <v>9</v>
      </c>
      <c r="B629" s="425" t="s">
        <v>102</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4"/>
      <c r="Z629" s="409"/>
      <c r="AA629" s="409"/>
      <c r="AB629" s="409"/>
      <c r="AC629" s="409"/>
      <c r="AD629" s="409"/>
      <c r="AE629" s="409"/>
      <c r="AF629" s="414"/>
      <c r="AG629" s="414"/>
      <c r="AH629" s="414"/>
      <c r="AI629" s="414"/>
      <c r="AJ629" s="414"/>
      <c r="AK629" s="414"/>
      <c r="AL629" s="414"/>
      <c r="AM629" s="296">
        <f>SUM(Y629:AL629)</f>
        <v>0</v>
      </c>
    </row>
    <row r="630" spans="1:39" hidden="1" outlineLevel="2">
      <c r="A630" s="527"/>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0">
        <f>Y629</f>
        <v>0</v>
      </c>
      <c r="Z630" s="410">
        <f t="shared" ref="Z630" si="1818">Z629</f>
        <v>0</v>
      </c>
      <c r="AA630" s="410">
        <f t="shared" ref="AA630" si="1819">AA629</f>
        <v>0</v>
      </c>
      <c r="AB630" s="410">
        <f t="shared" ref="AB630" si="1820">AB629</f>
        <v>0</v>
      </c>
      <c r="AC630" s="410">
        <f t="shared" ref="AC630" si="1821">AC629</f>
        <v>0</v>
      </c>
      <c r="AD630" s="410">
        <f t="shared" ref="AD630" si="1822">AD629</f>
        <v>0</v>
      </c>
      <c r="AE630" s="410">
        <f t="shared" ref="AE630" si="1823">AE629</f>
        <v>0</v>
      </c>
      <c r="AF630" s="410">
        <f t="shared" ref="AF630" si="1824">AF629</f>
        <v>0</v>
      </c>
      <c r="AG630" s="410">
        <f t="shared" ref="AG630" si="1825">AG629</f>
        <v>0</v>
      </c>
      <c r="AH630" s="410">
        <f t="shared" ref="AH630" si="1826">AH629</f>
        <v>0</v>
      </c>
      <c r="AI630" s="410">
        <f t="shared" ref="AI630" si="1827">AI629</f>
        <v>0</v>
      </c>
      <c r="AJ630" s="410">
        <f t="shared" ref="AJ630" si="1828">AJ629</f>
        <v>0</v>
      </c>
      <c r="AK630" s="410">
        <f t="shared" ref="AK630" si="1829">AK629</f>
        <v>0</v>
      </c>
      <c r="AL630" s="410">
        <f t="shared" ref="AL630" si="1830">AL629</f>
        <v>0</v>
      </c>
      <c r="AM630" s="311"/>
    </row>
    <row r="631" spans="1:39" hidden="1" outlineLevel="2">
      <c r="A631" s="527"/>
      <c r="B631" s="314"/>
      <c r="C631" s="312"/>
      <c r="D631" s="316"/>
      <c r="E631" s="316"/>
      <c r="F631" s="316"/>
      <c r="G631" s="316"/>
      <c r="H631" s="316"/>
      <c r="I631" s="316"/>
      <c r="J631" s="316"/>
      <c r="K631" s="316"/>
      <c r="L631" s="316"/>
      <c r="M631" s="316"/>
      <c r="N631" s="291"/>
      <c r="O631" s="316"/>
      <c r="P631" s="316"/>
      <c r="Q631" s="316"/>
      <c r="R631" s="316"/>
      <c r="S631" s="316"/>
      <c r="T631" s="316"/>
      <c r="U631" s="316"/>
      <c r="V631" s="316"/>
      <c r="W631" s="316"/>
      <c r="X631" s="316"/>
      <c r="Y631" s="415"/>
      <c r="Z631" s="415"/>
      <c r="AA631" s="415"/>
      <c r="AB631" s="415"/>
      <c r="AC631" s="415"/>
      <c r="AD631" s="415"/>
      <c r="AE631" s="415"/>
      <c r="AF631" s="415"/>
      <c r="AG631" s="415"/>
      <c r="AH631" s="415"/>
      <c r="AI631" s="415"/>
      <c r="AJ631" s="415"/>
      <c r="AK631" s="415"/>
      <c r="AL631" s="415"/>
      <c r="AM631" s="313"/>
    </row>
    <row r="632" spans="1:39" ht="45" hidden="1" outlineLevel="2">
      <c r="A632" s="527">
        <v>10</v>
      </c>
      <c r="B632" s="425" t="s">
        <v>103</v>
      </c>
      <c r="C632" s="291" t="s">
        <v>25</v>
      </c>
      <c r="D632" s="295"/>
      <c r="E632" s="295"/>
      <c r="F632" s="295"/>
      <c r="G632" s="295"/>
      <c r="H632" s="295"/>
      <c r="I632" s="295"/>
      <c r="J632" s="295"/>
      <c r="K632" s="295"/>
      <c r="L632" s="295"/>
      <c r="M632" s="295"/>
      <c r="N632" s="295">
        <v>3</v>
      </c>
      <c r="O632" s="295"/>
      <c r="P632" s="295"/>
      <c r="Q632" s="295"/>
      <c r="R632" s="295"/>
      <c r="S632" s="295"/>
      <c r="T632" s="295"/>
      <c r="U632" s="295"/>
      <c r="V632" s="295"/>
      <c r="W632" s="295"/>
      <c r="X632" s="295"/>
      <c r="Y632" s="414"/>
      <c r="Z632" s="409"/>
      <c r="AA632" s="409"/>
      <c r="AB632" s="409"/>
      <c r="AC632" s="409"/>
      <c r="AD632" s="409"/>
      <c r="AE632" s="409"/>
      <c r="AF632" s="414"/>
      <c r="AG632" s="414"/>
      <c r="AH632" s="414"/>
      <c r="AI632" s="414"/>
      <c r="AJ632" s="414"/>
      <c r="AK632" s="414"/>
      <c r="AL632" s="414"/>
      <c r="AM632" s="296">
        <f>SUM(Y632:AL632)</f>
        <v>0</v>
      </c>
    </row>
    <row r="633" spans="1:39" hidden="1" outlineLevel="2">
      <c r="A633" s="527"/>
      <c r="B633" s="294" t="s">
        <v>310</v>
      </c>
      <c r="C633" s="291" t="s">
        <v>163</v>
      </c>
      <c r="D633" s="295"/>
      <c r="E633" s="295"/>
      <c r="F633" s="295"/>
      <c r="G633" s="295"/>
      <c r="H633" s="295"/>
      <c r="I633" s="295"/>
      <c r="J633" s="295"/>
      <c r="K633" s="295"/>
      <c r="L633" s="295"/>
      <c r="M633" s="295"/>
      <c r="N633" s="295">
        <f>N632</f>
        <v>3</v>
      </c>
      <c r="O633" s="295"/>
      <c r="P633" s="295"/>
      <c r="Q633" s="295"/>
      <c r="R633" s="295"/>
      <c r="S633" s="295"/>
      <c r="T633" s="295"/>
      <c r="U633" s="295"/>
      <c r="V633" s="295"/>
      <c r="W633" s="295"/>
      <c r="X633" s="295"/>
      <c r="Y633" s="410">
        <f>Y632</f>
        <v>0</v>
      </c>
      <c r="Z633" s="410">
        <f t="shared" ref="Z633" si="1831">Z632</f>
        <v>0</v>
      </c>
      <c r="AA633" s="410">
        <f t="shared" ref="AA633" si="1832">AA632</f>
        <v>0</v>
      </c>
      <c r="AB633" s="410">
        <f t="shared" ref="AB633" si="1833">AB632</f>
        <v>0</v>
      </c>
      <c r="AC633" s="410">
        <f t="shared" ref="AC633" si="1834">AC632</f>
        <v>0</v>
      </c>
      <c r="AD633" s="410">
        <f t="shared" ref="AD633" si="1835">AD632</f>
        <v>0</v>
      </c>
      <c r="AE633" s="410">
        <f t="shared" ref="AE633" si="1836">AE632</f>
        <v>0</v>
      </c>
      <c r="AF633" s="410">
        <f t="shared" ref="AF633" si="1837">AF632</f>
        <v>0</v>
      </c>
      <c r="AG633" s="410">
        <f t="shared" ref="AG633" si="1838">AG632</f>
        <v>0</v>
      </c>
      <c r="AH633" s="410">
        <f t="shared" ref="AH633" si="1839">AH632</f>
        <v>0</v>
      </c>
      <c r="AI633" s="410">
        <f t="shared" ref="AI633" si="1840">AI632</f>
        <v>0</v>
      </c>
      <c r="AJ633" s="410">
        <f t="shared" ref="AJ633" si="1841">AJ632</f>
        <v>0</v>
      </c>
      <c r="AK633" s="410">
        <f t="shared" ref="AK633" si="1842">AK632</f>
        <v>0</v>
      </c>
      <c r="AL633" s="410">
        <f t="shared" ref="AL633" si="1843">AL632</f>
        <v>0</v>
      </c>
      <c r="AM633" s="311"/>
    </row>
    <row r="634" spans="1:39" hidden="1" outlineLevel="2">
      <c r="A634" s="527"/>
      <c r="B634" s="314"/>
      <c r="C634" s="312"/>
      <c r="D634" s="316"/>
      <c r="E634" s="316"/>
      <c r="F634" s="316"/>
      <c r="G634" s="316"/>
      <c r="H634" s="316"/>
      <c r="I634" s="316"/>
      <c r="J634" s="316"/>
      <c r="K634" s="316"/>
      <c r="L634" s="316"/>
      <c r="M634" s="316"/>
      <c r="N634" s="291"/>
      <c r="O634" s="316"/>
      <c r="P634" s="316"/>
      <c r="Q634" s="316"/>
      <c r="R634" s="316"/>
      <c r="S634" s="316"/>
      <c r="T634" s="316"/>
      <c r="U634" s="316"/>
      <c r="V634" s="316"/>
      <c r="W634" s="316"/>
      <c r="X634" s="316"/>
      <c r="Y634" s="415"/>
      <c r="Z634" s="416"/>
      <c r="AA634" s="415"/>
      <c r="AB634" s="415"/>
      <c r="AC634" s="415"/>
      <c r="AD634" s="415"/>
      <c r="AE634" s="415"/>
      <c r="AF634" s="415"/>
      <c r="AG634" s="415"/>
      <c r="AH634" s="415"/>
      <c r="AI634" s="415"/>
      <c r="AJ634" s="415"/>
      <c r="AK634" s="415"/>
      <c r="AL634" s="415"/>
      <c r="AM634" s="313"/>
    </row>
    <row r="635" spans="1:39" ht="15.75" hidden="1" outlineLevel="2">
      <c r="A635" s="527"/>
      <c r="B635" s="288" t="s">
        <v>10</v>
      </c>
      <c r="C635" s="289"/>
      <c r="D635" s="289"/>
      <c r="E635" s="289"/>
      <c r="F635" s="289"/>
      <c r="G635" s="289"/>
      <c r="H635" s="289"/>
      <c r="I635" s="289"/>
      <c r="J635" s="289"/>
      <c r="K635" s="289"/>
      <c r="L635" s="289"/>
      <c r="M635" s="289"/>
      <c r="N635" s="290"/>
      <c r="O635" s="289"/>
      <c r="P635" s="289"/>
      <c r="Q635" s="289"/>
      <c r="R635" s="289"/>
      <c r="S635" s="289"/>
      <c r="T635" s="289"/>
      <c r="U635" s="289"/>
      <c r="V635" s="289"/>
      <c r="W635" s="289"/>
      <c r="X635" s="289"/>
      <c r="Y635" s="413"/>
      <c r="Z635" s="413"/>
      <c r="AA635" s="413"/>
      <c r="AB635" s="413"/>
      <c r="AC635" s="413"/>
      <c r="AD635" s="413"/>
      <c r="AE635" s="413"/>
      <c r="AF635" s="413"/>
      <c r="AG635" s="413"/>
      <c r="AH635" s="413"/>
      <c r="AI635" s="413"/>
      <c r="AJ635" s="413"/>
      <c r="AK635" s="413"/>
      <c r="AL635" s="413"/>
      <c r="AM635" s="292"/>
    </row>
    <row r="636" spans="1:39" ht="45" hidden="1" outlineLevel="2">
      <c r="A636" s="527">
        <v>11</v>
      </c>
      <c r="B636" s="425" t="s">
        <v>104</v>
      </c>
      <c r="C636" s="291" t="s">
        <v>25</v>
      </c>
      <c r="D636" s="295"/>
      <c r="E636" s="295"/>
      <c r="F636" s="295"/>
      <c r="G636" s="295"/>
      <c r="H636" s="295"/>
      <c r="I636" s="295"/>
      <c r="J636" s="295"/>
      <c r="K636" s="295"/>
      <c r="L636" s="295"/>
      <c r="M636" s="295"/>
      <c r="N636" s="295">
        <v>12</v>
      </c>
      <c r="O636" s="295"/>
      <c r="P636" s="295"/>
      <c r="Q636" s="295"/>
      <c r="R636" s="295"/>
      <c r="S636" s="295"/>
      <c r="T636" s="295"/>
      <c r="U636" s="295"/>
      <c r="V636" s="295"/>
      <c r="W636" s="295"/>
      <c r="X636" s="295"/>
      <c r="Y636" s="423"/>
      <c r="Z636" s="409"/>
      <c r="AA636" s="409"/>
      <c r="AB636" s="409"/>
      <c r="AC636" s="409"/>
      <c r="AD636" s="409"/>
      <c r="AE636" s="409"/>
      <c r="AF636" s="414"/>
      <c r="AG636" s="414"/>
      <c r="AH636" s="414"/>
      <c r="AI636" s="414"/>
      <c r="AJ636" s="414"/>
      <c r="AK636" s="414"/>
      <c r="AL636" s="414"/>
      <c r="AM636" s="296">
        <f>SUM(Y636:AL636)</f>
        <v>0</v>
      </c>
    </row>
    <row r="637" spans="1:39" hidden="1" outlineLevel="2">
      <c r="A637" s="527"/>
      <c r="B637" s="294" t="s">
        <v>310</v>
      </c>
      <c r="C637" s="291" t="s">
        <v>163</v>
      </c>
      <c r="D637" s="295"/>
      <c r="E637" s="295"/>
      <c r="F637" s="295"/>
      <c r="G637" s="295"/>
      <c r="H637" s="295"/>
      <c r="I637" s="295"/>
      <c r="J637" s="295"/>
      <c r="K637" s="295"/>
      <c r="L637" s="295"/>
      <c r="M637" s="295"/>
      <c r="N637" s="295">
        <f>N636</f>
        <v>12</v>
      </c>
      <c r="O637" s="295"/>
      <c r="P637" s="295"/>
      <c r="Q637" s="295"/>
      <c r="R637" s="295"/>
      <c r="S637" s="295"/>
      <c r="T637" s="295"/>
      <c r="U637" s="295"/>
      <c r="V637" s="295"/>
      <c r="W637" s="295"/>
      <c r="X637" s="295"/>
      <c r="Y637" s="410">
        <f>Y636</f>
        <v>0</v>
      </c>
      <c r="Z637" s="410">
        <f t="shared" ref="Z637" si="1844">Z636</f>
        <v>0</v>
      </c>
      <c r="AA637" s="410">
        <f t="shared" ref="AA637" si="1845">AA636</f>
        <v>0</v>
      </c>
      <c r="AB637" s="410">
        <f t="shared" ref="AB637" si="1846">AB636</f>
        <v>0</v>
      </c>
      <c r="AC637" s="410">
        <f t="shared" ref="AC637" si="1847">AC636</f>
        <v>0</v>
      </c>
      <c r="AD637" s="410">
        <f t="shared" ref="AD637" si="1848">AD636</f>
        <v>0</v>
      </c>
      <c r="AE637" s="410">
        <f t="shared" ref="AE637" si="1849">AE636</f>
        <v>0</v>
      </c>
      <c r="AF637" s="410">
        <f t="shared" ref="AF637" si="1850">AF636</f>
        <v>0</v>
      </c>
      <c r="AG637" s="410">
        <f t="shared" ref="AG637" si="1851">AG636</f>
        <v>0</v>
      </c>
      <c r="AH637" s="410">
        <f t="shared" ref="AH637" si="1852">AH636</f>
        <v>0</v>
      </c>
      <c r="AI637" s="410">
        <f t="shared" ref="AI637" si="1853">AI636</f>
        <v>0</v>
      </c>
      <c r="AJ637" s="410">
        <f t="shared" ref="AJ637" si="1854">AJ636</f>
        <v>0</v>
      </c>
      <c r="AK637" s="410">
        <f t="shared" ref="AK637" si="1855">AK636</f>
        <v>0</v>
      </c>
      <c r="AL637" s="410">
        <f t="shared" ref="AL637" si="1856">AL636</f>
        <v>0</v>
      </c>
      <c r="AM637" s="297"/>
    </row>
    <row r="638" spans="1:39" hidden="1" outlineLevel="2">
      <c r="A638" s="527"/>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1"/>
      <c r="Z638" s="418"/>
      <c r="AA638" s="418"/>
      <c r="AB638" s="418"/>
      <c r="AC638" s="418"/>
      <c r="AD638" s="418"/>
      <c r="AE638" s="418"/>
      <c r="AF638" s="418"/>
      <c r="AG638" s="418"/>
      <c r="AH638" s="418"/>
      <c r="AI638" s="418"/>
      <c r="AJ638" s="418"/>
      <c r="AK638" s="418"/>
      <c r="AL638" s="418"/>
      <c r="AM638" s="306"/>
    </row>
    <row r="639" spans="1:39" ht="60" hidden="1" outlineLevel="2">
      <c r="A639" s="527">
        <v>12</v>
      </c>
      <c r="B639" s="425" t="s">
        <v>105</v>
      </c>
      <c r="C639" s="291" t="s">
        <v>25</v>
      </c>
      <c r="D639" s="295"/>
      <c r="E639" s="295"/>
      <c r="F639" s="295"/>
      <c r="G639" s="295"/>
      <c r="H639" s="295"/>
      <c r="I639" s="295"/>
      <c r="J639" s="295"/>
      <c r="K639" s="295"/>
      <c r="L639" s="295"/>
      <c r="M639" s="295"/>
      <c r="N639" s="295">
        <v>12</v>
      </c>
      <c r="O639" s="295"/>
      <c r="P639" s="295"/>
      <c r="Q639" s="295"/>
      <c r="R639" s="295"/>
      <c r="S639" s="295"/>
      <c r="T639" s="295"/>
      <c r="U639" s="295"/>
      <c r="V639" s="295"/>
      <c r="W639" s="295"/>
      <c r="X639" s="295"/>
      <c r="Y639" s="409"/>
      <c r="Z639" s="409"/>
      <c r="AA639" s="409"/>
      <c r="AB639" s="409"/>
      <c r="AC639" s="409"/>
      <c r="AD639" s="409"/>
      <c r="AE639" s="409"/>
      <c r="AF639" s="414"/>
      <c r="AG639" s="414"/>
      <c r="AH639" s="414"/>
      <c r="AI639" s="414"/>
      <c r="AJ639" s="414"/>
      <c r="AK639" s="414"/>
      <c r="AL639" s="414"/>
      <c r="AM639" s="296">
        <f>SUM(Y639:AL639)</f>
        <v>0</v>
      </c>
    </row>
    <row r="640" spans="1:39" hidden="1" outlineLevel="2">
      <c r="A640" s="527"/>
      <c r="B640" s="294" t="s">
        <v>310</v>
      </c>
      <c r="C640" s="291" t="s">
        <v>163</v>
      </c>
      <c r="D640" s="295"/>
      <c r="E640" s="295"/>
      <c r="F640" s="295"/>
      <c r="G640" s="295"/>
      <c r="H640" s="295"/>
      <c r="I640" s="295"/>
      <c r="J640" s="295"/>
      <c r="K640" s="295"/>
      <c r="L640" s="295"/>
      <c r="M640" s="295"/>
      <c r="N640" s="295">
        <f>N639</f>
        <v>12</v>
      </c>
      <c r="O640" s="295"/>
      <c r="P640" s="295"/>
      <c r="Q640" s="295"/>
      <c r="R640" s="295"/>
      <c r="S640" s="295"/>
      <c r="T640" s="295"/>
      <c r="U640" s="295"/>
      <c r="V640" s="295"/>
      <c r="W640" s="295"/>
      <c r="X640" s="295"/>
      <c r="Y640" s="410">
        <f>Y639</f>
        <v>0</v>
      </c>
      <c r="Z640" s="410">
        <f t="shared" ref="Z640" si="1857">Z639</f>
        <v>0</v>
      </c>
      <c r="AA640" s="410">
        <f t="shared" ref="AA640" si="1858">AA639</f>
        <v>0</v>
      </c>
      <c r="AB640" s="410">
        <f t="shared" ref="AB640" si="1859">AB639</f>
        <v>0</v>
      </c>
      <c r="AC640" s="410">
        <f t="shared" ref="AC640" si="1860">AC639</f>
        <v>0</v>
      </c>
      <c r="AD640" s="410">
        <f t="shared" ref="AD640" si="1861">AD639</f>
        <v>0</v>
      </c>
      <c r="AE640" s="410">
        <f t="shared" ref="AE640" si="1862">AE639</f>
        <v>0</v>
      </c>
      <c r="AF640" s="410">
        <f t="shared" ref="AF640" si="1863">AF639</f>
        <v>0</v>
      </c>
      <c r="AG640" s="410">
        <f t="shared" ref="AG640" si="1864">AG639</f>
        <v>0</v>
      </c>
      <c r="AH640" s="410">
        <f t="shared" ref="AH640" si="1865">AH639</f>
        <v>0</v>
      </c>
      <c r="AI640" s="410">
        <f t="shared" ref="AI640" si="1866">AI639</f>
        <v>0</v>
      </c>
      <c r="AJ640" s="410">
        <f t="shared" ref="AJ640" si="1867">AJ639</f>
        <v>0</v>
      </c>
      <c r="AK640" s="410">
        <f t="shared" ref="AK640" si="1868">AK639</f>
        <v>0</v>
      </c>
      <c r="AL640" s="410">
        <f t="shared" ref="AL640" si="1869">AL639</f>
        <v>0</v>
      </c>
      <c r="AM640" s="297"/>
    </row>
    <row r="641" spans="1:40" hidden="1" outlineLevel="2">
      <c r="A641" s="527"/>
      <c r="B641" s="315"/>
      <c r="C641" s="305"/>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9"/>
      <c r="Z641" s="419"/>
      <c r="AA641" s="411"/>
      <c r="AB641" s="411"/>
      <c r="AC641" s="411"/>
      <c r="AD641" s="411"/>
      <c r="AE641" s="411"/>
      <c r="AF641" s="411"/>
      <c r="AG641" s="411"/>
      <c r="AH641" s="411"/>
      <c r="AI641" s="411"/>
      <c r="AJ641" s="411"/>
      <c r="AK641" s="411"/>
      <c r="AL641" s="411"/>
      <c r="AM641" s="306"/>
    </row>
    <row r="642" spans="1:40" ht="45" hidden="1" outlineLevel="2">
      <c r="A642" s="527">
        <v>13</v>
      </c>
      <c r="B642" s="425" t="s">
        <v>106</v>
      </c>
      <c r="C642" s="291" t="s">
        <v>25</v>
      </c>
      <c r="D642" s="295"/>
      <c r="E642" s="295"/>
      <c r="F642" s="295"/>
      <c r="G642" s="295"/>
      <c r="H642" s="295"/>
      <c r="I642" s="295"/>
      <c r="J642" s="295"/>
      <c r="K642" s="295"/>
      <c r="L642" s="295"/>
      <c r="M642" s="295"/>
      <c r="N642" s="295">
        <v>12</v>
      </c>
      <c r="O642" s="295"/>
      <c r="P642" s="295"/>
      <c r="Q642" s="295"/>
      <c r="R642" s="295"/>
      <c r="S642" s="295"/>
      <c r="T642" s="295"/>
      <c r="U642" s="295"/>
      <c r="V642" s="295"/>
      <c r="W642" s="295"/>
      <c r="X642" s="295"/>
      <c r="Y642" s="409"/>
      <c r="Z642" s="409"/>
      <c r="AA642" s="409"/>
      <c r="AB642" s="409"/>
      <c r="AC642" s="409"/>
      <c r="AD642" s="409"/>
      <c r="AE642" s="409"/>
      <c r="AF642" s="414"/>
      <c r="AG642" s="414"/>
      <c r="AH642" s="414"/>
      <c r="AI642" s="414"/>
      <c r="AJ642" s="414"/>
      <c r="AK642" s="414"/>
      <c r="AL642" s="414"/>
      <c r="AM642" s="296">
        <f>SUM(Y642:AL642)</f>
        <v>0</v>
      </c>
    </row>
    <row r="643" spans="1:40" hidden="1" outlineLevel="2">
      <c r="A643" s="527"/>
      <c r="B643" s="294" t="s">
        <v>310</v>
      </c>
      <c r="C643" s="291" t="s">
        <v>163</v>
      </c>
      <c r="D643" s="295"/>
      <c r="E643" s="295"/>
      <c r="F643" s="295"/>
      <c r="G643" s="295"/>
      <c r="H643" s="295"/>
      <c r="I643" s="295"/>
      <c r="J643" s="295"/>
      <c r="K643" s="295"/>
      <c r="L643" s="295"/>
      <c r="M643" s="295"/>
      <c r="N643" s="295">
        <f>N642</f>
        <v>12</v>
      </c>
      <c r="O643" s="295"/>
      <c r="P643" s="295"/>
      <c r="Q643" s="295"/>
      <c r="R643" s="295"/>
      <c r="S643" s="295"/>
      <c r="T643" s="295"/>
      <c r="U643" s="295"/>
      <c r="V643" s="295"/>
      <c r="W643" s="295"/>
      <c r="X643" s="295"/>
      <c r="Y643" s="410">
        <f>Y642</f>
        <v>0</v>
      </c>
      <c r="Z643" s="410">
        <f t="shared" ref="Z643" si="1870">Z642</f>
        <v>0</v>
      </c>
      <c r="AA643" s="410">
        <f t="shared" ref="AA643" si="1871">AA642</f>
        <v>0</v>
      </c>
      <c r="AB643" s="410">
        <f t="shared" ref="AB643" si="1872">AB642</f>
        <v>0</v>
      </c>
      <c r="AC643" s="410">
        <f t="shared" ref="AC643" si="1873">AC642</f>
        <v>0</v>
      </c>
      <c r="AD643" s="410">
        <f t="shared" ref="AD643" si="1874">AD642</f>
        <v>0</v>
      </c>
      <c r="AE643" s="410">
        <f t="shared" ref="AE643" si="1875">AE642</f>
        <v>0</v>
      </c>
      <c r="AF643" s="410">
        <f t="shared" ref="AF643" si="1876">AF642</f>
        <v>0</v>
      </c>
      <c r="AG643" s="410">
        <f t="shared" ref="AG643" si="1877">AG642</f>
        <v>0</v>
      </c>
      <c r="AH643" s="410">
        <f t="shared" ref="AH643" si="1878">AH642</f>
        <v>0</v>
      </c>
      <c r="AI643" s="410">
        <f t="shared" ref="AI643" si="1879">AI642</f>
        <v>0</v>
      </c>
      <c r="AJ643" s="410">
        <f t="shared" ref="AJ643" si="1880">AJ642</f>
        <v>0</v>
      </c>
      <c r="AK643" s="410">
        <f t="shared" ref="AK643" si="1881">AK642</f>
        <v>0</v>
      </c>
      <c r="AL643" s="410">
        <f t="shared" ref="AL643" si="1882">AL642</f>
        <v>0</v>
      </c>
      <c r="AM643" s="306"/>
    </row>
    <row r="644" spans="1:40" hidden="1" outlineLevel="2">
      <c r="A644" s="527"/>
      <c r="B644" s="315"/>
      <c r="C644" s="305"/>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1"/>
      <c r="Z644" s="411"/>
      <c r="AA644" s="411"/>
      <c r="AB644" s="411"/>
      <c r="AC644" s="411"/>
      <c r="AD644" s="411"/>
      <c r="AE644" s="411"/>
      <c r="AF644" s="411"/>
      <c r="AG644" s="411"/>
      <c r="AH644" s="411"/>
      <c r="AI644" s="411"/>
      <c r="AJ644" s="411"/>
      <c r="AK644" s="411"/>
      <c r="AL644" s="411"/>
      <c r="AM644" s="306"/>
    </row>
    <row r="645" spans="1:40" ht="15.75" hidden="1" outlineLevel="2">
      <c r="A645" s="527"/>
      <c r="B645" s="288" t="s">
        <v>107</v>
      </c>
      <c r="C645" s="289"/>
      <c r="D645" s="290"/>
      <c r="E645" s="290"/>
      <c r="F645" s="290"/>
      <c r="G645" s="290"/>
      <c r="H645" s="290"/>
      <c r="I645" s="290"/>
      <c r="J645" s="290"/>
      <c r="K645" s="290"/>
      <c r="L645" s="290"/>
      <c r="M645" s="290"/>
      <c r="N645" s="290"/>
      <c r="O645" s="290"/>
      <c r="P645" s="289"/>
      <c r="Q645" s="289"/>
      <c r="R645" s="289"/>
      <c r="S645" s="289"/>
      <c r="T645" s="289"/>
      <c r="U645" s="289"/>
      <c r="V645" s="289"/>
      <c r="W645" s="289"/>
      <c r="X645" s="289"/>
      <c r="Y645" s="413"/>
      <c r="Z645" s="413"/>
      <c r="AA645" s="413"/>
      <c r="AB645" s="413"/>
      <c r="AC645" s="413"/>
      <c r="AD645" s="413"/>
      <c r="AE645" s="413"/>
      <c r="AF645" s="413"/>
      <c r="AG645" s="413"/>
      <c r="AH645" s="413"/>
      <c r="AI645" s="413"/>
      <c r="AJ645" s="413"/>
      <c r="AK645" s="413"/>
      <c r="AL645" s="413"/>
      <c r="AM645" s="292"/>
    </row>
    <row r="646" spans="1:40" hidden="1" outlineLevel="2">
      <c r="A646" s="527">
        <v>14</v>
      </c>
      <c r="B646" s="315" t="s">
        <v>108</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09"/>
      <c r="Z646" s="409"/>
      <c r="AA646" s="409"/>
      <c r="AB646" s="409"/>
      <c r="AC646" s="409"/>
      <c r="AD646" s="409"/>
      <c r="AE646" s="409"/>
      <c r="AF646" s="409"/>
      <c r="AG646" s="409"/>
      <c r="AH646" s="409"/>
      <c r="AI646" s="409"/>
      <c r="AJ646" s="409"/>
      <c r="AK646" s="409"/>
      <c r="AL646" s="409"/>
      <c r="AM646" s="296">
        <f>SUM(Y646:AL646)</f>
        <v>0</v>
      </c>
    </row>
    <row r="647" spans="1:40" hidden="1" outlineLevel="2">
      <c r="A647" s="527"/>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0">
        <f>Y646</f>
        <v>0</v>
      </c>
      <c r="Z647" s="410">
        <f t="shared" ref="Z647" si="1883">Z646</f>
        <v>0</v>
      </c>
      <c r="AA647" s="410">
        <f t="shared" ref="AA647" si="1884">AA646</f>
        <v>0</v>
      </c>
      <c r="AB647" s="410">
        <f t="shared" ref="AB647" si="1885">AB646</f>
        <v>0</v>
      </c>
      <c r="AC647" s="410">
        <f t="shared" ref="AC647" si="1886">AC646</f>
        <v>0</v>
      </c>
      <c r="AD647" s="410">
        <f t="shared" ref="AD647" si="1887">AD646</f>
        <v>0</v>
      </c>
      <c r="AE647" s="410">
        <f t="shared" ref="AE647" si="1888">AE646</f>
        <v>0</v>
      </c>
      <c r="AF647" s="410">
        <f t="shared" ref="AF647" si="1889">AF646</f>
        <v>0</v>
      </c>
      <c r="AG647" s="410">
        <f t="shared" ref="AG647" si="1890">AG646</f>
        <v>0</v>
      </c>
      <c r="AH647" s="410">
        <f t="shared" ref="AH647" si="1891">AH646</f>
        <v>0</v>
      </c>
      <c r="AI647" s="410">
        <f t="shared" ref="AI647" si="1892">AI646</f>
        <v>0</v>
      </c>
      <c r="AJ647" s="410">
        <f t="shared" ref="AJ647" si="1893">AJ646</f>
        <v>0</v>
      </c>
      <c r="AK647" s="410">
        <f t="shared" ref="AK647" si="1894">AK646</f>
        <v>0</v>
      </c>
      <c r="AL647" s="410">
        <f t="shared" ref="AL647" si="1895">AL646</f>
        <v>0</v>
      </c>
      <c r="AM647" s="511"/>
      <c r="AN647" s="625"/>
    </row>
    <row r="648" spans="1:40" hidden="1" outlineLevel="2">
      <c r="A648" s="527"/>
      <c r="B648" s="315"/>
      <c r="C648" s="305"/>
      <c r="D648" s="291"/>
      <c r="E648" s="291"/>
      <c r="F648" s="291"/>
      <c r="G648" s="291"/>
      <c r="H648" s="291"/>
      <c r="I648" s="291"/>
      <c r="J648" s="291"/>
      <c r="K648" s="291"/>
      <c r="L648" s="291"/>
      <c r="M648" s="291"/>
      <c r="N648" s="464"/>
      <c r="O648" s="291"/>
      <c r="P648" s="291"/>
      <c r="Q648" s="291"/>
      <c r="R648" s="291"/>
      <c r="S648" s="291"/>
      <c r="T648" s="291"/>
      <c r="U648" s="291"/>
      <c r="V648" s="291"/>
      <c r="W648" s="291"/>
      <c r="X648" s="291"/>
      <c r="Y648" s="411"/>
      <c r="Z648" s="411"/>
      <c r="AA648" s="411"/>
      <c r="AB648" s="411"/>
      <c r="AC648" s="411"/>
      <c r="AD648" s="411"/>
      <c r="AE648" s="411"/>
      <c r="AF648" s="411"/>
      <c r="AG648" s="411"/>
      <c r="AH648" s="411"/>
      <c r="AI648" s="411"/>
      <c r="AJ648" s="411"/>
      <c r="AK648" s="411"/>
      <c r="AL648" s="411"/>
      <c r="AM648" s="301"/>
      <c r="AN648" s="625"/>
    </row>
    <row r="649" spans="1:40" s="309" customFormat="1" ht="15.75" hidden="1" outlineLevel="2">
      <c r="A649" s="527"/>
      <c r="B649" s="288" t="s">
        <v>490</v>
      </c>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1"/>
      <c r="Z649" s="411"/>
      <c r="AA649" s="411"/>
      <c r="AB649" s="411"/>
      <c r="AC649" s="411"/>
      <c r="AD649" s="411"/>
      <c r="AE649" s="415"/>
      <c r="AF649" s="415"/>
      <c r="AG649" s="415"/>
      <c r="AH649" s="415"/>
      <c r="AI649" s="415"/>
      <c r="AJ649" s="415"/>
      <c r="AK649" s="415"/>
      <c r="AL649" s="415"/>
      <c r="AM649" s="512"/>
      <c r="AN649" s="626"/>
    </row>
    <row r="650" spans="1:40" hidden="1" outlineLevel="2">
      <c r="A650" s="527">
        <v>15</v>
      </c>
      <c r="B650" s="294" t="s">
        <v>495</v>
      </c>
      <c r="C650" s="291" t="s">
        <v>25</v>
      </c>
      <c r="D650" s="295"/>
      <c r="E650" s="295"/>
      <c r="F650" s="295"/>
      <c r="G650" s="295"/>
      <c r="H650" s="295"/>
      <c r="I650" s="295"/>
      <c r="J650" s="295"/>
      <c r="K650" s="295"/>
      <c r="L650" s="295"/>
      <c r="M650" s="295"/>
      <c r="N650" s="295">
        <v>0</v>
      </c>
      <c r="O650" s="295"/>
      <c r="P650" s="295"/>
      <c r="Q650" s="295"/>
      <c r="R650" s="295"/>
      <c r="S650" s="295"/>
      <c r="T650" s="295"/>
      <c r="U650" s="295"/>
      <c r="V650" s="295"/>
      <c r="W650" s="295"/>
      <c r="X650" s="295"/>
      <c r="Y650" s="409"/>
      <c r="Z650" s="409"/>
      <c r="AA650" s="409"/>
      <c r="AB650" s="409"/>
      <c r="AC650" s="409"/>
      <c r="AD650" s="409"/>
      <c r="AE650" s="409"/>
      <c r="AF650" s="409"/>
      <c r="AG650" s="409"/>
      <c r="AH650" s="409"/>
      <c r="AI650" s="409"/>
      <c r="AJ650" s="409"/>
      <c r="AK650" s="409"/>
      <c r="AL650" s="409"/>
      <c r="AM650" s="296">
        <f>SUM(Y650:AL650)</f>
        <v>0</v>
      </c>
    </row>
    <row r="651" spans="1:40" hidden="1" outlineLevel="2">
      <c r="A651" s="527"/>
      <c r="B651" s="294" t="s">
        <v>310</v>
      </c>
      <c r="C651" s="291" t="s">
        <v>163</v>
      </c>
      <c r="D651" s="295"/>
      <c r="E651" s="295"/>
      <c r="F651" s="295"/>
      <c r="G651" s="295"/>
      <c r="H651" s="295"/>
      <c r="I651" s="295"/>
      <c r="J651" s="295"/>
      <c r="K651" s="295"/>
      <c r="L651" s="295"/>
      <c r="M651" s="295"/>
      <c r="N651" s="295">
        <f>N650</f>
        <v>0</v>
      </c>
      <c r="O651" s="295"/>
      <c r="P651" s="295"/>
      <c r="Q651" s="295"/>
      <c r="R651" s="295"/>
      <c r="S651" s="295"/>
      <c r="T651" s="295"/>
      <c r="U651" s="295"/>
      <c r="V651" s="295"/>
      <c r="W651" s="295"/>
      <c r="X651" s="295"/>
      <c r="Y651" s="410">
        <f>Y650</f>
        <v>0</v>
      </c>
      <c r="Z651" s="410">
        <f t="shared" ref="Z651:AL651" si="1896">Z650</f>
        <v>0</v>
      </c>
      <c r="AA651" s="410">
        <f t="shared" si="1896"/>
        <v>0</v>
      </c>
      <c r="AB651" s="410">
        <f t="shared" si="1896"/>
        <v>0</v>
      </c>
      <c r="AC651" s="410">
        <f t="shared" si="1896"/>
        <v>0</v>
      </c>
      <c r="AD651" s="410">
        <f t="shared" si="1896"/>
        <v>0</v>
      </c>
      <c r="AE651" s="410">
        <f t="shared" si="1896"/>
        <v>0</v>
      </c>
      <c r="AF651" s="410">
        <f t="shared" si="1896"/>
        <v>0</v>
      </c>
      <c r="AG651" s="410">
        <f t="shared" si="1896"/>
        <v>0</v>
      </c>
      <c r="AH651" s="410">
        <f t="shared" si="1896"/>
        <v>0</v>
      </c>
      <c r="AI651" s="410">
        <f t="shared" si="1896"/>
        <v>0</v>
      </c>
      <c r="AJ651" s="410">
        <f t="shared" si="1896"/>
        <v>0</v>
      </c>
      <c r="AK651" s="410">
        <f t="shared" si="1896"/>
        <v>0</v>
      </c>
      <c r="AL651" s="410">
        <f t="shared" si="1896"/>
        <v>0</v>
      </c>
      <c r="AM651" s="297"/>
    </row>
    <row r="652" spans="1:40" hidden="1" outlineLevel="2">
      <c r="A652" s="527"/>
      <c r="B652" s="315"/>
      <c r="C652" s="305"/>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11"/>
      <c r="Z652" s="411"/>
      <c r="AA652" s="411"/>
      <c r="AB652" s="411"/>
      <c r="AC652" s="411"/>
      <c r="AD652" s="411"/>
      <c r="AE652" s="411"/>
      <c r="AF652" s="411"/>
      <c r="AG652" s="411"/>
      <c r="AH652" s="411"/>
      <c r="AI652" s="411"/>
      <c r="AJ652" s="411"/>
      <c r="AK652" s="411"/>
      <c r="AL652" s="411"/>
      <c r="AM652" s="306"/>
    </row>
    <row r="653" spans="1:40" s="283" customFormat="1" hidden="1" outlineLevel="2">
      <c r="A653" s="527">
        <v>16</v>
      </c>
      <c r="B653" s="323" t="s">
        <v>491</v>
      </c>
      <c r="C653" s="291" t="s">
        <v>25</v>
      </c>
      <c r="D653" s="295"/>
      <c r="E653" s="295"/>
      <c r="F653" s="295"/>
      <c r="G653" s="295"/>
      <c r="H653" s="295"/>
      <c r="I653" s="295"/>
      <c r="J653" s="295"/>
      <c r="K653" s="295"/>
      <c r="L653" s="295"/>
      <c r="M653" s="295"/>
      <c r="N653" s="295">
        <v>0</v>
      </c>
      <c r="O653" s="295"/>
      <c r="P653" s="295"/>
      <c r="Q653" s="295"/>
      <c r="R653" s="295"/>
      <c r="S653" s="295"/>
      <c r="T653" s="295"/>
      <c r="U653" s="295"/>
      <c r="V653" s="295"/>
      <c r="W653" s="295"/>
      <c r="X653" s="295"/>
      <c r="Y653" s="409"/>
      <c r="Z653" s="409"/>
      <c r="AA653" s="409"/>
      <c r="AB653" s="409"/>
      <c r="AC653" s="409"/>
      <c r="AD653" s="409"/>
      <c r="AE653" s="409"/>
      <c r="AF653" s="409"/>
      <c r="AG653" s="409"/>
      <c r="AH653" s="409"/>
      <c r="AI653" s="409"/>
      <c r="AJ653" s="409"/>
      <c r="AK653" s="409"/>
      <c r="AL653" s="409"/>
      <c r="AM653" s="296">
        <f>SUM(Y653:AL653)</f>
        <v>0</v>
      </c>
    </row>
    <row r="654" spans="1:40" s="283" customFormat="1" hidden="1" outlineLevel="2">
      <c r="A654" s="527"/>
      <c r="B654" s="294" t="s">
        <v>310</v>
      </c>
      <c r="C654" s="291" t="s">
        <v>163</v>
      </c>
      <c r="D654" s="295"/>
      <c r="E654" s="295"/>
      <c r="F654" s="295"/>
      <c r="G654" s="295"/>
      <c r="H654" s="295"/>
      <c r="I654" s="295"/>
      <c r="J654" s="295"/>
      <c r="K654" s="295"/>
      <c r="L654" s="295"/>
      <c r="M654" s="295"/>
      <c r="N654" s="295">
        <f>N653</f>
        <v>0</v>
      </c>
      <c r="O654" s="295"/>
      <c r="P654" s="295"/>
      <c r="Q654" s="295"/>
      <c r="R654" s="295"/>
      <c r="S654" s="295"/>
      <c r="T654" s="295"/>
      <c r="U654" s="295"/>
      <c r="V654" s="295"/>
      <c r="W654" s="295"/>
      <c r="X654" s="295"/>
      <c r="Y654" s="410">
        <f>Y653</f>
        <v>0</v>
      </c>
      <c r="Z654" s="410">
        <f t="shared" ref="Z654:AL654" si="1897">Z653</f>
        <v>0</v>
      </c>
      <c r="AA654" s="410">
        <f t="shared" si="1897"/>
        <v>0</v>
      </c>
      <c r="AB654" s="410">
        <f t="shared" si="1897"/>
        <v>0</v>
      </c>
      <c r="AC654" s="410">
        <f t="shared" si="1897"/>
        <v>0</v>
      </c>
      <c r="AD654" s="410">
        <f t="shared" si="1897"/>
        <v>0</v>
      </c>
      <c r="AE654" s="410">
        <f t="shared" si="1897"/>
        <v>0</v>
      </c>
      <c r="AF654" s="410">
        <f t="shared" si="1897"/>
        <v>0</v>
      </c>
      <c r="AG654" s="410">
        <f t="shared" si="1897"/>
        <v>0</v>
      </c>
      <c r="AH654" s="410">
        <f t="shared" si="1897"/>
        <v>0</v>
      </c>
      <c r="AI654" s="410">
        <f t="shared" si="1897"/>
        <v>0</v>
      </c>
      <c r="AJ654" s="410">
        <f t="shared" si="1897"/>
        <v>0</v>
      </c>
      <c r="AK654" s="410">
        <f t="shared" si="1897"/>
        <v>0</v>
      </c>
      <c r="AL654" s="410">
        <f t="shared" si="1897"/>
        <v>0</v>
      </c>
      <c r="AM654" s="297"/>
    </row>
    <row r="655" spans="1:40" s="283" customFormat="1" outlineLevel="1" collapsed="1">
      <c r="A655" s="527"/>
      <c r="B655" s="323"/>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11"/>
      <c r="Z655" s="411"/>
      <c r="AA655" s="411"/>
      <c r="AB655" s="411"/>
      <c r="AC655" s="411"/>
      <c r="AD655" s="411"/>
      <c r="AE655" s="415"/>
      <c r="AF655" s="415"/>
      <c r="AG655" s="415"/>
      <c r="AH655" s="415"/>
      <c r="AI655" s="415"/>
      <c r="AJ655" s="415"/>
      <c r="AK655" s="415"/>
      <c r="AL655" s="415"/>
      <c r="AM655" s="313"/>
    </row>
    <row r="656" spans="1:40" ht="15.75" hidden="1" outlineLevel="1">
      <c r="A656" s="527"/>
      <c r="B656" s="514" t="s">
        <v>496</v>
      </c>
      <c r="C656" s="319"/>
      <c r="D656" s="290"/>
      <c r="E656" s="289"/>
      <c r="F656" s="289"/>
      <c r="G656" s="289"/>
      <c r="H656" s="289"/>
      <c r="I656" s="289"/>
      <c r="J656" s="289"/>
      <c r="K656" s="289"/>
      <c r="L656" s="289"/>
      <c r="M656" s="289"/>
      <c r="N656" s="290"/>
      <c r="O656" s="289"/>
      <c r="P656" s="289"/>
      <c r="Q656" s="289"/>
      <c r="R656" s="289"/>
      <c r="S656" s="289"/>
      <c r="T656" s="289"/>
      <c r="U656" s="289"/>
      <c r="V656" s="289"/>
      <c r="W656" s="289"/>
      <c r="X656" s="289"/>
      <c r="Y656" s="413"/>
      <c r="Z656" s="413"/>
      <c r="AA656" s="413"/>
      <c r="AB656" s="413"/>
      <c r="AC656" s="413"/>
      <c r="AD656" s="413"/>
      <c r="AE656" s="413"/>
      <c r="AF656" s="413"/>
      <c r="AG656" s="413"/>
      <c r="AH656" s="413"/>
      <c r="AI656" s="413"/>
      <c r="AJ656" s="413"/>
      <c r="AK656" s="413"/>
      <c r="AL656" s="413"/>
      <c r="AM656" s="292"/>
    </row>
    <row r="657" spans="1:39" ht="30" hidden="1" outlineLevel="1">
      <c r="A657" s="527">
        <v>17</v>
      </c>
      <c r="B657" s="425" t="s">
        <v>112</v>
      </c>
      <c r="C657" s="291" t="s">
        <v>25</v>
      </c>
      <c r="D657" s="295"/>
      <c r="E657" s="295"/>
      <c r="F657" s="295"/>
      <c r="G657" s="295"/>
      <c r="H657" s="295"/>
      <c r="I657" s="295"/>
      <c r="J657" s="295"/>
      <c r="K657" s="295"/>
      <c r="L657" s="295"/>
      <c r="M657" s="295"/>
      <c r="N657" s="295">
        <v>12</v>
      </c>
      <c r="O657" s="295"/>
      <c r="P657" s="295"/>
      <c r="Q657" s="295"/>
      <c r="R657" s="295"/>
      <c r="S657" s="295"/>
      <c r="T657" s="295"/>
      <c r="U657" s="295"/>
      <c r="V657" s="295"/>
      <c r="W657" s="295"/>
      <c r="X657" s="295"/>
      <c r="Y657" s="423"/>
      <c r="Z657" s="409"/>
      <c r="AA657" s="409"/>
      <c r="AB657" s="409"/>
      <c r="AC657" s="409"/>
      <c r="AD657" s="409"/>
      <c r="AE657" s="409"/>
      <c r="AF657" s="414"/>
      <c r="AG657" s="414"/>
      <c r="AH657" s="414"/>
      <c r="AI657" s="414"/>
      <c r="AJ657" s="414"/>
      <c r="AK657" s="414"/>
      <c r="AL657" s="414"/>
      <c r="AM657" s="296">
        <f>SUM(Y657:AL657)</f>
        <v>0</v>
      </c>
    </row>
    <row r="658" spans="1:39" hidden="1" outlineLevel="1">
      <c r="A658" s="527"/>
      <c r="B658" s="294" t="s">
        <v>310</v>
      </c>
      <c r="C658" s="291" t="s">
        <v>163</v>
      </c>
      <c r="D658" s="295"/>
      <c r="E658" s="295"/>
      <c r="F658" s="295"/>
      <c r="G658" s="295"/>
      <c r="H658" s="295"/>
      <c r="I658" s="295"/>
      <c r="J658" s="295"/>
      <c r="K658" s="295"/>
      <c r="L658" s="295"/>
      <c r="M658" s="295"/>
      <c r="N658" s="295">
        <f>N657</f>
        <v>12</v>
      </c>
      <c r="O658" s="295"/>
      <c r="P658" s="295"/>
      <c r="Q658" s="295"/>
      <c r="R658" s="295"/>
      <c r="S658" s="295"/>
      <c r="T658" s="295"/>
      <c r="U658" s="295"/>
      <c r="V658" s="295"/>
      <c r="W658" s="295"/>
      <c r="X658" s="295"/>
      <c r="Y658" s="410">
        <f>Y657</f>
        <v>0</v>
      </c>
      <c r="Z658" s="410">
        <f t="shared" ref="Z658:AL658" si="1898">Z657</f>
        <v>0</v>
      </c>
      <c r="AA658" s="410">
        <f t="shared" si="1898"/>
        <v>0</v>
      </c>
      <c r="AB658" s="410">
        <f t="shared" si="1898"/>
        <v>0</v>
      </c>
      <c r="AC658" s="410">
        <f t="shared" si="1898"/>
        <v>0</v>
      </c>
      <c r="AD658" s="410">
        <f t="shared" si="1898"/>
        <v>0</v>
      </c>
      <c r="AE658" s="410">
        <f t="shared" si="1898"/>
        <v>0</v>
      </c>
      <c r="AF658" s="410">
        <f t="shared" si="1898"/>
        <v>0</v>
      </c>
      <c r="AG658" s="410">
        <f t="shared" si="1898"/>
        <v>0</v>
      </c>
      <c r="AH658" s="410">
        <f t="shared" si="1898"/>
        <v>0</v>
      </c>
      <c r="AI658" s="410">
        <f t="shared" si="1898"/>
        <v>0</v>
      </c>
      <c r="AJ658" s="410">
        <f t="shared" si="1898"/>
        <v>0</v>
      </c>
      <c r="AK658" s="410">
        <f t="shared" si="1898"/>
        <v>0</v>
      </c>
      <c r="AL658" s="410">
        <f t="shared" si="1898"/>
        <v>0</v>
      </c>
      <c r="AM658" s="306"/>
    </row>
    <row r="659" spans="1:39" hidden="1" outlineLevel="1">
      <c r="A659" s="527"/>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9"/>
      <c r="Z659" s="422"/>
      <c r="AA659" s="422"/>
      <c r="AB659" s="422"/>
      <c r="AC659" s="422"/>
      <c r="AD659" s="422"/>
      <c r="AE659" s="422"/>
      <c r="AF659" s="422"/>
      <c r="AG659" s="422"/>
      <c r="AH659" s="422"/>
      <c r="AI659" s="422"/>
      <c r="AJ659" s="422"/>
      <c r="AK659" s="422"/>
      <c r="AL659" s="422"/>
      <c r="AM659" s="306"/>
    </row>
    <row r="660" spans="1:39" hidden="1" outlineLevel="1">
      <c r="A660" s="527">
        <v>18</v>
      </c>
      <c r="B660" s="425" t="s">
        <v>109</v>
      </c>
      <c r="C660" s="291" t="s">
        <v>25</v>
      </c>
      <c r="D660" s="295"/>
      <c r="E660" s="295"/>
      <c r="F660" s="295"/>
      <c r="G660" s="295"/>
      <c r="H660" s="295"/>
      <c r="I660" s="295"/>
      <c r="J660" s="295"/>
      <c r="K660" s="295"/>
      <c r="L660" s="295"/>
      <c r="M660" s="295"/>
      <c r="N660" s="295">
        <v>12</v>
      </c>
      <c r="O660" s="295"/>
      <c r="P660" s="295"/>
      <c r="Q660" s="295"/>
      <c r="R660" s="295"/>
      <c r="S660" s="295"/>
      <c r="T660" s="295"/>
      <c r="U660" s="295"/>
      <c r="V660" s="295"/>
      <c r="W660" s="295"/>
      <c r="X660" s="295"/>
      <c r="Y660" s="423"/>
      <c r="Z660" s="409"/>
      <c r="AA660" s="409"/>
      <c r="AB660" s="409"/>
      <c r="AC660" s="409"/>
      <c r="AD660" s="409"/>
      <c r="AE660" s="409"/>
      <c r="AF660" s="414"/>
      <c r="AG660" s="414"/>
      <c r="AH660" s="414"/>
      <c r="AI660" s="414"/>
      <c r="AJ660" s="414"/>
      <c r="AK660" s="414"/>
      <c r="AL660" s="414"/>
      <c r="AM660" s="296">
        <f>SUM(Y660:AL660)</f>
        <v>0</v>
      </c>
    </row>
    <row r="661" spans="1:39" hidden="1" outlineLevel="1">
      <c r="A661" s="527"/>
      <c r="B661" s="294" t="s">
        <v>310</v>
      </c>
      <c r="C661" s="291" t="s">
        <v>163</v>
      </c>
      <c r="D661" s="295"/>
      <c r="E661" s="295"/>
      <c r="F661" s="295"/>
      <c r="G661" s="295"/>
      <c r="H661" s="295"/>
      <c r="I661" s="295"/>
      <c r="J661" s="295"/>
      <c r="K661" s="295"/>
      <c r="L661" s="295"/>
      <c r="M661" s="295"/>
      <c r="N661" s="295">
        <f>N660</f>
        <v>12</v>
      </c>
      <c r="O661" s="295"/>
      <c r="P661" s="295"/>
      <c r="Q661" s="295"/>
      <c r="R661" s="295"/>
      <c r="S661" s="295"/>
      <c r="T661" s="295"/>
      <c r="U661" s="295"/>
      <c r="V661" s="295"/>
      <c r="W661" s="295"/>
      <c r="X661" s="295"/>
      <c r="Y661" s="410">
        <f>Y660</f>
        <v>0</v>
      </c>
      <c r="Z661" s="410">
        <f t="shared" ref="Z661:AL661" si="1899">Z660</f>
        <v>0</v>
      </c>
      <c r="AA661" s="410">
        <f t="shared" si="1899"/>
        <v>0</v>
      </c>
      <c r="AB661" s="410">
        <f t="shared" si="1899"/>
        <v>0</v>
      </c>
      <c r="AC661" s="410">
        <f t="shared" si="1899"/>
        <v>0</v>
      </c>
      <c r="AD661" s="410">
        <f t="shared" si="1899"/>
        <v>0</v>
      </c>
      <c r="AE661" s="410">
        <f t="shared" si="1899"/>
        <v>0</v>
      </c>
      <c r="AF661" s="410">
        <f t="shared" si="1899"/>
        <v>0</v>
      </c>
      <c r="AG661" s="410">
        <f t="shared" si="1899"/>
        <v>0</v>
      </c>
      <c r="AH661" s="410">
        <f t="shared" si="1899"/>
        <v>0</v>
      </c>
      <c r="AI661" s="410">
        <f t="shared" si="1899"/>
        <v>0</v>
      </c>
      <c r="AJ661" s="410">
        <f t="shared" si="1899"/>
        <v>0</v>
      </c>
      <c r="AK661" s="410">
        <f t="shared" si="1899"/>
        <v>0</v>
      </c>
      <c r="AL661" s="410">
        <f t="shared" si="1899"/>
        <v>0</v>
      </c>
      <c r="AM661" s="306"/>
    </row>
    <row r="662" spans="1:39" hidden="1" outlineLevel="1">
      <c r="A662" s="527"/>
      <c r="B662" s="321"/>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0"/>
      <c r="Z662" s="421"/>
      <c r="AA662" s="421"/>
      <c r="AB662" s="421"/>
      <c r="AC662" s="421"/>
      <c r="AD662" s="421"/>
      <c r="AE662" s="421"/>
      <c r="AF662" s="421"/>
      <c r="AG662" s="421"/>
      <c r="AH662" s="421"/>
      <c r="AI662" s="421"/>
      <c r="AJ662" s="421"/>
      <c r="AK662" s="421"/>
      <c r="AL662" s="421"/>
      <c r="AM662" s="297"/>
    </row>
    <row r="663" spans="1:39" ht="30" hidden="1" outlineLevel="1">
      <c r="A663" s="527">
        <v>19</v>
      </c>
      <c r="B663" s="425" t="s">
        <v>111</v>
      </c>
      <c r="C663" s="291" t="s">
        <v>25</v>
      </c>
      <c r="D663" s="295"/>
      <c r="E663" s="295"/>
      <c r="F663" s="295"/>
      <c r="G663" s="295"/>
      <c r="H663" s="295"/>
      <c r="I663" s="295"/>
      <c r="J663" s="295"/>
      <c r="K663" s="295"/>
      <c r="L663" s="295"/>
      <c r="M663" s="295"/>
      <c r="N663" s="295">
        <v>12</v>
      </c>
      <c r="O663" s="295"/>
      <c r="P663" s="295"/>
      <c r="Q663" s="295"/>
      <c r="R663" s="295"/>
      <c r="S663" s="295"/>
      <c r="T663" s="295"/>
      <c r="U663" s="295"/>
      <c r="V663" s="295"/>
      <c r="W663" s="295"/>
      <c r="X663" s="295"/>
      <c r="Y663" s="423"/>
      <c r="Z663" s="409"/>
      <c r="AA663" s="409"/>
      <c r="AB663" s="409"/>
      <c r="AC663" s="409"/>
      <c r="AD663" s="409"/>
      <c r="AE663" s="409"/>
      <c r="AF663" s="414"/>
      <c r="AG663" s="414"/>
      <c r="AH663" s="414"/>
      <c r="AI663" s="414"/>
      <c r="AJ663" s="414"/>
      <c r="AK663" s="414"/>
      <c r="AL663" s="414"/>
      <c r="AM663" s="296">
        <f>SUM(Y663:AL663)</f>
        <v>0</v>
      </c>
    </row>
    <row r="664" spans="1:39" hidden="1" outlineLevel="1">
      <c r="A664" s="527"/>
      <c r="B664" s="294" t="s">
        <v>310</v>
      </c>
      <c r="C664" s="291" t="s">
        <v>163</v>
      </c>
      <c r="D664" s="295"/>
      <c r="E664" s="295"/>
      <c r="F664" s="295"/>
      <c r="G664" s="295"/>
      <c r="H664" s="295"/>
      <c r="I664" s="295"/>
      <c r="J664" s="295"/>
      <c r="K664" s="295"/>
      <c r="L664" s="295"/>
      <c r="M664" s="295"/>
      <c r="N664" s="295">
        <f>N663</f>
        <v>12</v>
      </c>
      <c r="O664" s="295"/>
      <c r="P664" s="295"/>
      <c r="Q664" s="295"/>
      <c r="R664" s="295"/>
      <c r="S664" s="295"/>
      <c r="T664" s="295"/>
      <c r="U664" s="295"/>
      <c r="V664" s="295"/>
      <c r="W664" s="295"/>
      <c r="X664" s="295"/>
      <c r="Y664" s="410">
        <f>Y663</f>
        <v>0</v>
      </c>
      <c r="Z664" s="410">
        <f t="shared" ref="Z664:AL664" si="1900">Z663</f>
        <v>0</v>
      </c>
      <c r="AA664" s="410">
        <f t="shared" si="1900"/>
        <v>0</v>
      </c>
      <c r="AB664" s="410">
        <f t="shared" si="1900"/>
        <v>0</v>
      </c>
      <c r="AC664" s="410">
        <f t="shared" si="1900"/>
        <v>0</v>
      </c>
      <c r="AD664" s="410">
        <f t="shared" si="1900"/>
        <v>0</v>
      </c>
      <c r="AE664" s="410">
        <f t="shared" si="1900"/>
        <v>0</v>
      </c>
      <c r="AF664" s="410">
        <f t="shared" si="1900"/>
        <v>0</v>
      </c>
      <c r="AG664" s="410">
        <f t="shared" si="1900"/>
        <v>0</v>
      </c>
      <c r="AH664" s="410">
        <f t="shared" si="1900"/>
        <v>0</v>
      </c>
      <c r="AI664" s="410">
        <f t="shared" si="1900"/>
        <v>0</v>
      </c>
      <c r="AJ664" s="410">
        <f t="shared" si="1900"/>
        <v>0</v>
      </c>
      <c r="AK664" s="410">
        <f t="shared" si="1900"/>
        <v>0</v>
      </c>
      <c r="AL664" s="410">
        <f t="shared" si="1900"/>
        <v>0</v>
      </c>
      <c r="AM664" s="297"/>
    </row>
    <row r="665" spans="1:39" hidden="1" outlineLevel="1">
      <c r="A665" s="527"/>
      <c r="B665" s="321"/>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1"/>
      <c r="Z665" s="411"/>
      <c r="AA665" s="411"/>
      <c r="AB665" s="411"/>
      <c r="AC665" s="411"/>
      <c r="AD665" s="411"/>
      <c r="AE665" s="411"/>
      <c r="AF665" s="411"/>
      <c r="AG665" s="411"/>
      <c r="AH665" s="411"/>
      <c r="AI665" s="411"/>
      <c r="AJ665" s="411"/>
      <c r="AK665" s="411"/>
      <c r="AL665" s="411"/>
      <c r="AM665" s="306"/>
    </row>
    <row r="666" spans="1:39" hidden="1" outlineLevel="1">
      <c r="A666" s="527">
        <v>20</v>
      </c>
      <c r="B666" s="425" t="s">
        <v>110</v>
      </c>
      <c r="C666" s="291" t="s">
        <v>25</v>
      </c>
      <c r="D666" s="295"/>
      <c r="E666" s="295"/>
      <c r="F666" s="295"/>
      <c r="G666" s="295"/>
      <c r="H666" s="295"/>
      <c r="I666" s="295"/>
      <c r="J666" s="295"/>
      <c r="K666" s="295"/>
      <c r="L666" s="295"/>
      <c r="M666" s="295"/>
      <c r="N666" s="295">
        <v>12</v>
      </c>
      <c r="O666" s="295"/>
      <c r="P666" s="295"/>
      <c r="Q666" s="295"/>
      <c r="R666" s="295"/>
      <c r="S666" s="295"/>
      <c r="T666" s="295"/>
      <c r="U666" s="295"/>
      <c r="V666" s="295"/>
      <c r="W666" s="295"/>
      <c r="X666" s="295"/>
      <c r="Y666" s="423"/>
      <c r="Z666" s="409"/>
      <c r="AA666" s="409"/>
      <c r="AB666" s="409"/>
      <c r="AC666" s="409"/>
      <c r="AD666" s="409"/>
      <c r="AE666" s="409"/>
      <c r="AF666" s="414"/>
      <c r="AG666" s="414"/>
      <c r="AH666" s="414"/>
      <c r="AI666" s="414"/>
      <c r="AJ666" s="414"/>
      <c r="AK666" s="414"/>
      <c r="AL666" s="414"/>
      <c r="AM666" s="296">
        <f>SUM(Y666:AL666)</f>
        <v>0</v>
      </c>
    </row>
    <row r="667" spans="1:39" hidden="1" outlineLevel="1">
      <c r="A667" s="527"/>
      <c r="B667" s="294" t="s">
        <v>310</v>
      </c>
      <c r="C667" s="291" t="s">
        <v>163</v>
      </c>
      <c r="D667" s="295"/>
      <c r="E667" s="295"/>
      <c r="F667" s="295"/>
      <c r="G667" s="295"/>
      <c r="H667" s="295"/>
      <c r="I667" s="295"/>
      <c r="J667" s="295"/>
      <c r="K667" s="295"/>
      <c r="L667" s="295"/>
      <c r="M667" s="295"/>
      <c r="N667" s="295">
        <f>N666</f>
        <v>12</v>
      </c>
      <c r="O667" s="295"/>
      <c r="P667" s="295"/>
      <c r="Q667" s="295"/>
      <c r="R667" s="295"/>
      <c r="S667" s="295"/>
      <c r="T667" s="295"/>
      <c r="U667" s="295"/>
      <c r="V667" s="295"/>
      <c r="W667" s="295"/>
      <c r="X667" s="295"/>
      <c r="Y667" s="410">
        <f>Y666</f>
        <v>0</v>
      </c>
      <c r="Z667" s="410">
        <f t="shared" ref="Z667:AL667" si="1901">Z666</f>
        <v>0</v>
      </c>
      <c r="AA667" s="410">
        <f t="shared" si="1901"/>
        <v>0</v>
      </c>
      <c r="AB667" s="410">
        <f t="shared" si="1901"/>
        <v>0</v>
      </c>
      <c r="AC667" s="410">
        <f t="shared" si="1901"/>
        <v>0</v>
      </c>
      <c r="AD667" s="410">
        <f t="shared" si="1901"/>
        <v>0</v>
      </c>
      <c r="AE667" s="410">
        <f t="shared" si="1901"/>
        <v>0</v>
      </c>
      <c r="AF667" s="410">
        <f t="shared" si="1901"/>
        <v>0</v>
      </c>
      <c r="AG667" s="410">
        <f t="shared" si="1901"/>
        <v>0</v>
      </c>
      <c r="AH667" s="410">
        <f t="shared" si="1901"/>
        <v>0</v>
      </c>
      <c r="AI667" s="410">
        <f t="shared" si="1901"/>
        <v>0</v>
      </c>
      <c r="AJ667" s="410">
        <f t="shared" si="1901"/>
        <v>0</v>
      </c>
      <c r="AK667" s="410">
        <f t="shared" si="1901"/>
        <v>0</v>
      </c>
      <c r="AL667" s="410">
        <f t="shared" si="1901"/>
        <v>0</v>
      </c>
      <c r="AM667" s="306"/>
    </row>
    <row r="668" spans="1:39" ht="15.75" outlineLevel="1">
      <c r="A668" s="527"/>
      <c r="B668" s="322"/>
      <c r="C668" s="300"/>
      <c r="D668" s="291"/>
      <c r="E668" s="291"/>
      <c r="F668" s="291"/>
      <c r="G668" s="291"/>
      <c r="H668" s="291"/>
      <c r="I668" s="291"/>
      <c r="J668" s="291"/>
      <c r="K668" s="291"/>
      <c r="L668" s="291"/>
      <c r="M668" s="291"/>
      <c r="N668" s="300"/>
      <c r="O668" s="291"/>
      <c r="P668" s="291"/>
      <c r="Q668" s="291"/>
      <c r="R668" s="291"/>
      <c r="S668" s="291"/>
      <c r="T668" s="291"/>
      <c r="U668" s="291"/>
      <c r="V668" s="291"/>
      <c r="W668" s="291"/>
      <c r="X668" s="291"/>
      <c r="Y668" s="411"/>
      <c r="Z668" s="411"/>
      <c r="AA668" s="411"/>
      <c r="AB668" s="411"/>
      <c r="AC668" s="411"/>
      <c r="AD668" s="411"/>
      <c r="AE668" s="411"/>
      <c r="AF668" s="411"/>
      <c r="AG668" s="411"/>
      <c r="AH668" s="411"/>
      <c r="AI668" s="411"/>
      <c r="AJ668" s="411"/>
      <c r="AK668" s="411"/>
      <c r="AL668" s="411"/>
      <c r="AM668" s="306"/>
    </row>
    <row r="669" spans="1:39" ht="15.75" outlineLevel="1">
      <c r="A669" s="527"/>
      <c r="B669" s="513" t="s">
        <v>503</v>
      </c>
      <c r="C669" s="291"/>
      <c r="D669" s="291"/>
      <c r="E669" s="291"/>
      <c r="F669" s="291"/>
      <c r="G669" s="291"/>
      <c r="H669" s="291"/>
      <c r="I669" s="291"/>
      <c r="J669" s="291"/>
      <c r="K669" s="291"/>
      <c r="L669" s="291"/>
      <c r="M669" s="291"/>
      <c r="N669" s="291"/>
      <c r="O669" s="780"/>
      <c r="P669" s="291"/>
      <c r="Q669" s="291"/>
      <c r="R669" s="291"/>
      <c r="S669" s="291"/>
      <c r="T669" s="291"/>
      <c r="U669" s="291"/>
      <c r="V669" s="291"/>
      <c r="W669" s="291"/>
      <c r="X669" s="291"/>
      <c r="Y669" s="902"/>
      <c r="Z669" s="422"/>
      <c r="AA669" s="422"/>
      <c r="AB669" s="422"/>
      <c r="AC669" s="422"/>
      <c r="AD669" s="422"/>
      <c r="AE669" s="422"/>
      <c r="AF669" s="422"/>
      <c r="AG669" s="422"/>
      <c r="AH669" s="422"/>
      <c r="AI669" s="422"/>
      <c r="AJ669" s="422"/>
      <c r="AK669" s="422"/>
      <c r="AL669" s="422"/>
      <c r="AM669" s="306"/>
    </row>
    <row r="670" spans="1:39" ht="15.75" outlineLevel="1">
      <c r="A670" s="527"/>
      <c r="B670" s="499" t="s">
        <v>499</v>
      </c>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9"/>
      <c r="Z670" s="422"/>
      <c r="AA670" s="422"/>
      <c r="AB670" s="422"/>
      <c r="AC670" s="422"/>
      <c r="AD670" s="422"/>
      <c r="AE670" s="422"/>
      <c r="AF670" s="422"/>
      <c r="AG670" s="422"/>
      <c r="AH670" s="422"/>
      <c r="AI670" s="422"/>
      <c r="AJ670" s="422"/>
      <c r="AK670" s="422"/>
      <c r="AL670" s="422"/>
      <c r="AM670" s="306"/>
    </row>
    <row r="671" spans="1:39" ht="30" outlineLevel="1">
      <c r="A671" s="527">
        <v>21</v>
      </c>
      <c r="B671" s="425" t="s">
        <v>113</v>
      </c>
      <c r="C671" s="786" t="s">
        <v>781</v>
      </c>
      <c r="D671" s="295"/>
      <c r="E671" s="295"/>
      <c r="F671" s="295"/>
      <c r="G671" s="295"/>
      <c r="H671" s="295"/>
      <c r="I671" s="295"/>
      <c r="J671" s="295"/>
      <c r="K671" s="295"/>
      <c r="L671" s="295"/>
      <c r="M671" s="295"/>
      <c r="N671" s="758"/>
      <c r="O671" s="295"/>
      <c r="P671" s="295"/>
      <c r="Q671" s="295"/>
      <c r="R671" s="295"/>
      <c r="S671" s="295"/>
      <c r="T671" s="295"/>
      <c r="U671" s="295"/>
      <c r="V671" s="295"/>
      <c r="W671" s="295"/>
      <c r="X671" s="295"/>
      <c r="Y671" s="409"/>
      <c r="Z671" s="409"/>
      <c r="AA671" s="409"/>
      <c r="AB671" s="409"/>
      <c r="AC671" s="409"/>
      <c r="AD671" s="409"/>
      <c r="AE671" s="409"/>
      <c r="AF671" s="409"/>
      <c r="AG671" s="409"/>
      <c r="AH671" s="409"/>
      <c r="AI671" s="409"/>
      <c r="AJ671" s="409"/>
      <c r="AK671" s="409"/>
      <c r="AL671" s="409"/>
      <c r="AM671" s="296">
        <f>SUM(Y671:AL671)</f>
        <v>0</v>
      </c>
    </row>
    <row r="672" spans="1:39" outlineLevel="1">
      <c r="A672" s="527"/>
      <c r="B672" s="294" t="s">
        <v>310</v>
      </c>
      <c r="C672" s="758" t="s">
        <v>163</v>
      </c>
      <c r="D672" s="295"/>
      <c r="E672" s="295"/>
      <c r="F672" s="295"/>
      <c r="G672" s="295"/>
      <c r="H672" s="295"/>
      <c r="I672" s="295"/>
      <c r="J672" s="295"/>
      <c r="K672" s="295"/>
      <c r="L672" s="295"/>
      <c r="M672" s="295"/>
      <c r="N672" s="758"/>
      <c r="O672" s="295"/>
      <c r="P672" s="295"/>
      <c r="Q672" s="295"/>
      <c r="R672" s="295"/>
      <c r="S672" s="295"/>
      <c r="T672" s="295"/>
      <c r="U672" s="295"/>
      <c r="V672" s="295"/>
      <c r="W672" s="295"/>
      <c r="X672" s="295"/>
      <c r="Y672" s="410">
        <f>Y671</f>
        <v>0</v>
      </c>
      <c r="Z672" s="410">
        <f t="shared" ref="Z672" si="1902">Z671</f>
        <v>0</v>
      </c>
      <c r="AA672" s="410">
        <f t="shared" ref="AA672" si="1903">AA671</f>
        <v>0</v>
      </c>
      <c r="AB672" s="410">
        <f t="shared" ref="AB672" si="1904">AB671</f>
        <v>0</v>
      </c>
      <c r="AC672" s="410">
        <f t="shared" ref="AC672" si="1905">AC671</f>
        <v>0</v>
      </c>
      <c r="AD672" s="410">
        <f t="shared" ref="AD672" si="1906">AD671</f>
        <v>0</v>
      </c>
      <c r="AE672" s="410">
        <f t="shared" ref="AE672" si="1907">AE671</f>
        <v>0</v>
      </c>
      <c r="AF672" s="410">
        <f t="shared" ref="AF672" si="1908">AF671</f>
        <v>0</v>
      </c>
      <c r="AG672" s="410">
        <f t="shared" ref="AG672" si="1909">AG671</f>
        <v>0</v>
      </c>
      <c r="AH672" s="410">
        <f t="shared" ref="AH672" si="1910">AH671</f>
        <v>0</v>
      </c>
      <c r="AI672" s="410">
        <f t="shared" ref="AI672" si="1911">AI671</f>
        <v>0</v>
      </c>
      <c r="AJ672" s="410">
        <f t="shared" ref="AJ672" si="1912">AJ671</f>
        <v>0</v>
      </c>
      <c r="AK672" s="410">
        <f t="shared" ref="AK672" si="1913">AK671</f>
        <v>0</v>
      </c>
      <c r="AL672" s="410">
        <f t="shared" ref="AL672" si="1914">AL671</f>
        <v>0</v>
      </c>
      <c r="AM672" s="306"/>
    </row>
    <row r="673" spans="1:39" outlineLevel="1">
      <c r="A673" s="527"/>
      <c r="B673" s="294"/>
      <c r="C673" s="758"/>
      <c r="D673" s="758"/>
      <c r="E673" s="758"/>
      <c r="F673" s="758"/>
      <c r="G673" s="758"/>
      <c r="H673" s="758"/>
      <c r="I673" s="758"/>
      <c r="J673" s="758"/>
      <c r="K673" s="758"/>
      <c r="L673" s="758"/>
      <c r="M673" s="758"/>
      <c r="N673" s="758"/>
      <c r="O673" s="758"/>
      <c r="P673" s="758"/>
      <c r="Q673" s="758"/>
      <c r="R673" s="758"/>
      <c r="S673" s="758"/>
      <c r="T673" s="758"/>
      <c r="U673" s="758"/>
      <c r="V673" s="758"/>
      <c r="W673" s="758"/>
      <c r="X673" s="758"/>
      <c r="Y673" s="419"/>
      <c r="Z673" s="422"/>
      <c r="AA673" s="422"/>
      <c r="AB673" s="422"/>
      <c r="AC673" s="422"/>
      <c r="AD673" s="422"/>
      <c r="AE673" s="422"/>
      <c r="AF673" s="422"/>
      <c r="AG673" s="422"/>
      <c r="AH673" s="422"/>
      <c r="AI673" s="422"/>
      <c r="AJ673" s="422"/>
      <c r="AK673" s="422"/>
      <c r="AL673" s="422"/>
      <c r="AM673" s="306"/>
    </row>
    <row r="674" spans="1:39" ht="30" outlineLevel="1">
      <c r="A674" s="527">
        <v>22</v>
      </c>
      <c r="B674" s="425" t="s">
        <v>114</v>
      </c>
      <c r="C674" s="786" t="s">
        <v>781</v>
      </c>
      <c r="D674" s="295">
        <f>+'7.  Persistence Report'!AX216</f>
        <v>1043958</v>
      </c>
      <c r="E674" s="919">
        <f>+'7.  Persistence Report'!AY216</f>
        <v>1043958</v>
      </c>
      <c r="F674" s="919">
        <f>+'7.  Persistence Report'!AZ216</f>
        <v>1043958</v>
      </c>
      <c r="G674" s="919">
        <f>+'7.  Persistence Report'!BA216</f>
        <v>1043958</v>
      </c>
      <c r="H674" s="919">
        <f>+'7.  Persistence Report'!BB216</f>
        <v>1043958</v>
      </c>
      <c r="I674" s="919">
        <f>+'7.  Persistence Report'!BC216</f>
        <v>1043958</v>
      </c>
      <c r="J674" s="919">
        <f>+'7.  Persistence Report'!BD216</f>
        <v>0</v>
      </c>
      <c r="K674" s="919">
        <f>+'7.  Persistence Report'!BE216</f>
        <v>0</v>
      </c>
      <c r="L674" s="919">
        <f>+'7.  Persistence Report'!BF216</f>
        <v>0</v>
      </c>
      <c r="M674" s="919">
        <f>+'7.  Persistence Report'!BG216</f>
        <v>0</v>
      </c>
      <c r="N674" s="758"/>
      <c r="O674" s="919"/>
      <c r="P674" s="295"/>
      <c r="Q674" s="295"/>
      <c r="R674" s="295"/>
      <c r="S674" s="295"/>
      <c r="T674" s="295"/>
      <c r="U674" s="295"/>
      <c r="V674" s="295"/>
      <c r="W674" s="295"/>
      <c r="X674" s="295"/>
      <c r="Y674" s="772">
        <v>1</v>
      </c>
      <c r="Z674" s="409"/>
      <c r="AA674" s="409"/>
      <c r="AB674" s="409"/>
      <c r="AC674" s="409"/>
      <c r="AD674" s="409"/>
      <c r="AE674" s="409"/>
      <c r="AF674" s="409"/>
      <c r="AG674" s="409"/>
      <c r="AH674" s="409"/>
      <c r="AI674" s="409"/>
      <c r="AJ674" s="409"/>
      <c r="AK674" s="409"/>
      <c r="AL674" s="409"/>
      <c r="AM674" s="296">
        <f>SUM(Y674:AL674)</f>
        <v>1</v>
      </c>
    </row>
    <row r="675" spans="1:39" outlineLevel="1">
      <c r="A675" s="527"/>
      <c r="B675" s="294" t="s">
        <v>310</v>
      </c>
      <c r="C675" s="758" t="s">
        <v>163</v>
      </c>
      <c r="D675" s="295"/>
      <c r="E675" s="295"/>
      <c r="F675" s="295"/>
      <c r="G675" s="295"/>
      <c r="H675" s="295"/>
      <c r="I675" s="295"/>
      <c r="J675" s="295"/>
      <c r="K675" s="295"/>
      <c r="L675" s="295"/>
      <c r="M675" s="295"/>
      <c r="N675" s="758"/>
      <c r="O675" s="295"/>
      <c r="P675" s="295"/>
      <c r="Q675" s="295"/>
      <c r="R675" s="295"/>
      <c r="S675" s="295"/>
      <c r="T675" s="295"/>
      <c r="U675" s="295"/>
      <c r="V675" s="295"/>
      <c r="W675" s="295"/>
      <c r="X675" s="295"/>
      <c r="Y675" s="410">
        <f>Y674</f>
        <v>1</v>
      </c>
      <c r="Z675" s="410">
        <f t="shared" ref="Z675" si="1915">Z674</f>
        <v>0</v>
      </c>
      <c r="AA675" s="410">
        <f t="shared" ref="AA675" si="1916">AA674</f>
        <v>0</v>
      </c>
      <c r="AB675" s="410">
        <f t="shared" ref="AB675" si="1917">AB674</f>
        <v>0</v>
      </c>
      <c r="AC675" s="410">
        <f t="shared" ref="AC675" si="1918">AC674</f>
        <v>0</v>
      </c>
      <c r="AD675" s="410">
        <f t="shared" ref="AD675" si="1919">AD674</f>
        <v>0</v>
      </c>
      <c r="AE675" s="410">
        <f t="shared" ref="AE675" si="1920">AE674</f>
        <v>0</v>
      </c>
      <c r="AF675" s="410">
        <f t="shared" ref="AF675" si="1921">AF674</f>
        <v>0</v>
      </c>
      <c r="AG675" s="410">
        <f t="shared" ref="AG675" si="1922">AG674</f>
        <v>0</v>
      </c>
      <c r="AH675" s="410">
        <f t="shared" ref="AH675" si="1923">AH674</f>
        <v>0</v>
      </c>
      <c r="AI675" s="410">
        <f t="shared" ref="AI675" si="1924">AI674</f>
        <v>0</v>
      </c>
      <c r="AJ675" s="410">
        <f t="shared" ref="AJ675" si="1925">AJ674</f>
        <v>0</v>
      </c>
      <c r="AK675" s="410">
        <f t="shared" ref="AK675" si="1926">AK674</f>
        <v>0</v>
      </c>
      <c r="AL675" s="410">
        <f t="shared" ref="AL675" si="1927">AL674</f>
        <v>0</v>
      </c>
      <c r="AM675" s="306"/>
    </row>
    <row r="676" spans="1:39" outlineLevel="1">
      <c r="A676" s="527"/>
      <c r="B676" s="294"/>
      <c r="C676" s="758"/>
      <c r="D676" s="758"/>
      <c r="E676" s="758"/>
      <c r="F676" s="758"/>
      <c r="G676" s="758"/>
      <c r="H676" s="758"/>
      <c r="I676" s="758"/>
      <c r="J676" s="758"/>
      <c r="K676" s="758"/>
      <c r="L676" s="758"/>
      <c r="M676" s="758"/>
      <c r="N676" s="758"/>
      <c r="O676" s="758"/>
      <c r="P676" s="758"/>
      <c r="Q676" s="758"/>
      <c r="R676" s="758"/>
      <c r="S676" s="758"/>
      <c r="T676" s="758"/>
      <c r="U676" s="758"/>
      <c r="V676" s="758"/>
      <c r="W676" s="758"/>
      <c r="X676" s="758"/>
      <c r="Y676" s="419"/>
      <c r="Z676" s="422"/>
      <c r="AA676" s="422"/>
      <c r="AB676" s="422"/>
      <c r="AC676" s="422"/>
      <c r="AD676" s="422"/>
      <c r="AE676" s="422"/>
      <c r="AF676" s="422"/>
      <c r="AG676" s="422"/>
      <c r="AH676" s="422"/>
      <c r="AI676" s="422"/>
      <c r="AJ676" s="422"/>
      <c r="AK676" s="422"/>
      <c r="AL676" s="422"/>
      <c r="AM676" s="306"/>
    </row>
    <row r="677" spans="1:39" ht="30" outlineLevel="1">
      <c r="A677" s="527">
        <v>23</v>
      </c>
      <c r="B677" s="425" t="s">
        <v>115</v>
      </c>
      <c r="C677" s="786" t="s">
        <v>781</v>
      </c>
      <c r="D677" s="295">
        <f>+'7.  Persistence Report'!AX217</f>
        <v>7952</v>
      </c>
      <c r="E677" s="919">
        <f>+'7.  Persistence Report'!AY217</f>
        <v>7952</v>
      </c>
      <c r="F677" s="919">
        <f>+'7.  Persistence Report'!AZ217</f>
        <v>7952</v>
      </c>
      <c r="G677" s="919">
        <f>+'7.  Persistence Report'!BA217</f>
        <v>7952</v>
      </c>
      <c r="H677" s="919">
        <f>+'7.  Persistence Report'!BB217</f>
        <v>7952</v>
      </c>
      <c r="I677" s="919">
        <f>+'7.  Persistence Report'!BC217</f>
        <v>7952</v>
      </c>
      <c r="J677" s="919">
        <f>+'7.  Persistence Report'!BD217</f>
        <v>0</v>
      </c>
      <c r="K677" s="919">
        <f>+'7.  Persistence Report'!BE217</f>
        <v>0</v>
      </c>
      <c r="L677" s="919">
        <f>+'7.  Persistence Report'!BF217</f>
        <v>0</v>
      </c>
      <c r="M677" s="919">
        <f>+'7.  Persistence Report'!BG217</f>
        <v>0</v>
      </c>
      <c r="N677" s="758"/>
      <c r="O677" s="919"/>
      <c r="P677" s="295"/>
      <c r="Q677" s="295"/>
      <c r="R677" s="295"/>
      <c r="S677" s="295"/>
      <c r="T677" s="295"/>
      <c r="U677" s="295"/>
      <c r="V677" s="295"/>
      <c r="W677" s="295"/>
      <c r="X677" s="295"/>
      <c r="Y677" s="772">
        <v>1</v>
      </c>
      <c r="Z677" s="409"/>
      <c r="AA677" s="409"/>
      <c r="AB677" s="409"/>
      <c r="AC677" s="409"/>
      <c r="AD677" s="409"/>
      <c r="AE677" s="409"/>
      <c r="AF677" s="409"/>
      <c r="AG677" s="409"/>
      <c r="AH677" s="409"/>
      <c r="AI677" s="409"/>
      <c r="AJ677" s="409"/>
      <c r="AK677" s="409"/>
      <c r="AL677" s="409"/>
      <c r="AM677" s="296">
        <f>SUM(Y677:AL677)</f>
        <v>1</v>
      </c>
    </row>
    <row r="678" spans="1:39" outlineLevel="1">
      <c r="A678" s="527"/>
      <c r="B678" s="294" t="s">
        <v>310</v>
      </c>
      <c r="C678" s="758" t="s">
        <v>163</v>
      </c>
      <c r="D678" s="295"/>
      <c r="E678" s="295"/>
      <c r="F678" s="295"/>
      <c r="G678" s="295"/>
      <c r="H678" s="295"/>
      <c r="I678" s="295"/>
      <c r="J678" s="295"/>
      <c r="K678" s="295"/>
      <c r="L678" s="295"/>
      <c r="M678" s="295"/>
      <c r="N678" s="758"/>
      <c r="O678" s="295"/>
      <c r="P678" s="295"/>
      <c r="Q678" s="295"/>
      <c r="R678" s="295"/>
      <c r="S678" s="295"/>
      <c r="T678" s="295"/>
      <c r="U678" s="295"/>
      <c r="V678" s="295"/>
      <c r="W678" s="295"/>
      <c r="X678" s="295"/>
      <c r="Y678" s="410">
        <f>Y677</f>
        <v>1</v>
      </c>
      <c r="Z678" s="410">
        <f t="shared" ref="Z678" si="1928">Z677</f>
        <v>0</v>
      </c>
      <c r="AA678" s="410">
        <f t="shared" ref="AA678" si="1929">AA677</f>
        <v>0</v>
      </c>
      <c r="AB678" s="410">
        <f t="shared" ref="AB678" si="1930">AB677</f>
        <v>0</v>
      </c>
      <c r="AC678" s="410">
        <f t="shared" ref="AC678" si="1931">AC677</f>
        <v>0</v>
      </c>
      <c r="AD678" s="410">
        <f t="shared" ref="AD678" si="1932">AD677</f>
        <v>0</v>
      </c>
      <c r="AE678" s="410">
        <f t="shared" ref="AE678" si="1933">AE677</f>
        <v>0</v>
      </c>
      <c r="AF678" s="410">
        <f t="shared" ref="AF678" si="1934">AF677</f>
        <v>0</v>
      </c>
      <c r="AG678" s="410">
        <f t="shared" ref="AG678" si="1935">AG677</f>
        <v>0</v>
      </c>
      <c r="AH678" s="410">
        <f t="shared" ref="AH678" si="1936">AH677</f>
        <v>0</v>
      </c>
      <c r="AI678" s="410">
        <f t="shared" ref="AI678" si="1937">AI677</f>
        <v>0</v>
      </c>
      <c r="AJ678" s="410">
        <f t="shared" ref="AJ678" si="1938">AJ677</f>
        <v>0</v>
      </c>
      <c r="AK678" s="410">
        <f t="shared" ref="AK678" si="1939">AK677</f>
        <v>0</v>
      </c>
      <c r="AL678" s="410">
        <f t="shared" ref="AL678" si="1940">AL677</f>
        <v>0</v>
      </c>
      <c r="AM678" s="306"/>
    </row>
    <row r="679" spans="1:39" outlineLevel="1">
      <c r="A679" s="527"/>
      <c r="B679" s="427"/>
      <c r="C679" s="758"/>
      <c r="D679" s="758"/>
      <c r="E679" s="758"/>
      <c r="F679" s="758"/>
      <c r="G679" s="758"/>
      <c r="H679" s="758"/>
      <c r="I679" s="758"/>
      <c r="J679" s="758"/>
      <c r="K679" s="758"/>
      <c r="L679" s="758"/>
      <c r="M679" s="758"/>
      <c r="N679" s="758"/>
      <c r="O679" s="758"/>
      <c r="P679" s="758"/>
      <c r="Q679" s="758"/>
      <c r="R679" s="758"/>
      <c r="S679" s="758"/>
      <c r="T679" s="758"/>
      <c r="U679" s="758"/>
      <c r="V679" s="758"/>
      <c r="W679" s="758"/>
      <c r="X679" s="758"/>
      <c r="Y679" s="419"/>
      <c r="Z679" s="422"/>
      <c r="AA679" s="422"/>
      <c r="AB679" s="422"/>
      <c r="AC679" s="422"/>
      <c r="AD679" s="422"/>
      <c r="AE679" s="422"/>
      <c r="AF679" s="422"/>
      <c r="AG679" s="422"/>
      <c r="AH679" s="422"/>
      <c r="AI679" s="422"/>
      <c r="AJ679" s="422"/>
      <c r="AK679" s="422"/>
      <c r="AL679" s="422"/>
      <c r="AM679" s="306"/>
    </row>
    <row r="680" spans="1:39" ht="30" outlineLevel="1">
      <c r="A680" s="527">
        <v>24</v>
      </c>
      <c r="B680" s="425" t="s">
        <v>116</v>
      </c>
      <c r="C680" s="758" t="s">
        <v>25</v>
      </c>
      <c r="D680" s="295"/>
      <c r="E680" s="295"/>
      <c r="F680" s="295"/>
      <c r="G680" s="295"/>
      <c r="H680" s="295"/>
      <c r="I680" s="295"/>
      <c r="J680" s="295"/>
      <c r="K680" s="295"/>
      <c r="L680" s="295"/>
      <c r="M680" s="295"/>
      <c r="N680" s="758"/>
      <c r="O680" s="295"/>
      <c r="P680" s="295"/>
      <c r="Q680" s="295"/>
      <c r="R680" s="295"/>
      <c r="S680" s="295"/>
      <c r="T680" s="295"/>
      <c r="U680" s="295"/>
      <c r="V680" s="295"/>
      <c r="W680" s="295"/>
      <c r="X680" s="295"/>
      <c r="Y680" s="409"/>
      <c r="Z680" s="409"/>
      <c r="AA680" s="409"/>
      <c r="AB680" s="409"/>
      <c r="AC680" s="409"/>
      <c r="AD680" s="409"/>
      <c r="AE680" s="409"/>
      <c r="AF680" s="409"/>
      <c r="AG680" s="409"/>
      <c r="AH680" s="409"/>
      <c r="AI680" s="409"/>
      <c r="AJ680" s="409"/>
      <c r="AK680" s="409"/>
      <c r="AL680" s="409"/>
      <c r="AM680" s="296">
        <f>SUM(Y680:AL680)</f>
        <v>0</v>
      </c>
    </row>
    <row r="681" spans="1:39" outlineLevel="1">
      <c r="A681" s="527"/>
      <c r="B681" s="294" t="s">
        <v>310</v>
      </c>
      <c r="C681" s="758" t="s">
        <v>163</v>
      </c>
      <c r="D681" s="295"/>
      <c r="E681" s="295"/>
      <c r="F681" s="295"/>
      <c r="G681" s="295"/>
      <c r="H681" s="295"/>
      <c r="I681" s="295"/>
      <c r="J681" s="295"/>
      <c r="K681" s="295"/>
      <c r="L681" s="295"/>
      <c r="M681" s="295"/>
      <c r="N681" s="758"/>
      <c r="O681" s="295"/>
      <c r="P681" s="295"/>
      <c r="Q681" s="295"/>
      <c r="R681" s="295"/>
      <c r="S681" s="295"/>
      <c r="T681" s="295"/>
      <c r="U681" s="295"/>
      <c r="V681" s="295"/>
      <c r="W681" s="295"/>
      <c r="X681" s="295"/>
      <c r="Y681" s="410">
        <f>Y680</f>
        <v>0</v>
      </c>
      <c r="Z681" s="410">
        <f t="shared" ref="Z681" si="1941">Z680</f>
        <v>0</v>
      </c>
      <c r="AA681" s="410">
        <f t="shared" ref="AA681" si="1942">AA680</f>
        <v>0</v>
      </c>
      <c r="AB681" s="410">
        <f t="shared" ref="AB681" si="1943">AB680</f>
        <v>0</v>
      </c>
      <c r="AC681" s="410">
        <f t="shared" ref="AC681" si="1944">AC680</f>
        <v>0</v>
      </c>
      <c r="AD681" s="410">
        <f t="shared" ref="AD681" si="1945">AD680</f>
        <v>0</v>
      </c>
      <c r="AE681" s="410">
        <f t="shared" ref="AE681" si="1946">AE680</f>
        <v>0</v>
      </c>
      <c r="AF681" s="410">
        <f t="shared" ref="AF681" si="1947">AF680</f>
        <v>0</v>
      </c>
      <c r="AG681" s="410">
        <f t="shared" ref="AG681" si="1948">AG680</f>
        <v>0</v>
      </c>
      <c r="AH681" s="410">
        <f t="shared" ref="AH681" si="1949">AH680</f>
        <v>0</v>
      </c>
      <c r="AI681" s="410">
        <f t="shared" ref="AI681" si="1950">AI680</f>
        <v>0</v>
      </c>
      <c r="AJ681" s="410">
        <f t="shared" ref="AJ681" si="1951">AJ680</f>
        <v>0</v>
      </c>
      <c r="AK681" s="410">
        <f t="shared" ref="AK681" si="1952">AK680</f>
        <v>0</v>
      </c>
      <c r="AL681" s="410">
        <f t="shared" ref="AL681" si="1953">AL680</f>
        <v>0</v>
      </c>
      <c r="AM681" s="306"/>
    </row>
    <row r="682" spans="1:39" outlineLevel="1">
      <c r="A682" s="527"/>
      <c r="B682" s="294"/>
      <c r="C682" s="787"/>
      <c r="D682" s="787"/>
      <c r="E682" s="787"/>
      <c r="F682" s="787"/>
      <c r="G682" s="787"/>
      <c r="H682" s="787"/>
      <c r="I682" s="787"/>
      <c r="J682" s="787"/>
      <c r="K682" s="787"/>
      <c r="L682" s="787"/>
      <c r="M682" s="787"/>
      <c r="N682" s="787"/>
      <c r="O682" s="787"/>
      <c r="P682" s="787"/>
      <c r="Q682" s="787"/>
      <c r="R682" s="787"/>
      <c r="S682" s="787"/>
      <c r="T682" s="787"/>
      <c r="U682" s="787"/>
      <c r="V682" s="787"/>
      <c r="W682" s="787"/>
      <c r="X682" s="787"/>
      <c r="Y682" s="419"/>
      <c r="Z682" s="422"/>
      <c r="AA682" s="422"/>
      <c r="AB682" s="422"/>
      <c r="AC682" s="422"/>
      <c r="AD682" s="422"/>
      <c r="AE682" s="422"/>
      <c r="AF682" s="422"/>
      <c r="AG682" s="422"/>
      <c r="AH682" s="422"/>
      <c r="AI682" s="422"/>
      <c r="AJ682" s="422"/>
      <c r="AK682" s="422"/>
      <c r="AL682" s="422"/>
      <c r="AM682" s="306"/>
    </row>
    <row r="683" spans="1:39" ht="30" outlineLevel="1">
      <c r="A683" s="779"/>
      <c r="B683" s="900" t="s">
        <v>778</v>
      </c>
      <c r="C683" s="786" t="s">
        <v>781</v>
      </c>
      <c r="D683" s="295">
        <v>2861479.6622723294</v>
      </c>
      <c r="E683" s="919">
        <f>+'7.  Persistence Report'!AY215</f>
        <v>2837956.8024602993</v>
      </c>
      <c r="F683" s="919">
        <f>+'7.  Persistence Report'!AZ215</f>
        <v>2837956.8024602993</v>
      </c>
      <c r="G683" s="919">
        <f>+'7.  Persistence Report'!BA215</f>
        <v>2837956.8024602993</v>
      </c>
      <c r="H683" s="919">
        <f>+'7.  Persistence Report'!BB215</f>
        <v>2837956.8024602993</v>
      </c>
      <c r="I683" s="919">
        <f>+'7.  Persistence Report'!BC215</f>
        <v>2837956.8024602993</v>
      </c>
      <c r="J683" s="919">
        <f>+'7.  Persistence Report'!BD215</f>
        <v>0</v>
      </c>
      <c r="K683" s="919">
        <f>+'7.  Persistence Report'!BE215</f>
        <v>0</v>
      </c>
      <c r="L683" s="919">
        <f>+'7.  Persistence Report'!BF215</f>
        <v>0</v>
      </c>
      <c r="M683" s="919">
        <f>+'7.  Persistence Report'!BG215</f>
        <v>0</v>
      </c>
      <c r="N683" s="758"/>
      <c r="O683" s="919"/>
      <c r="P683" s="295"/>
      <c r="Q683" s="295"/>
      <c r="R683" s="295"/>
      <c r="S683" s="295"/>
      <c r="T683" s="295"/>
      <c r="U683" s="295"/>
      <c r="V683" s="295"/>
      <c r="W683" s="295"/>
      <c r="X683" s="295"/>
      <c r="Y683" s="772">
        <v>1</v>
      </c>
      <c r="Z683" s="409"/>
      <c r="AA683" s="409"/>
      <c r="AB683" s="409"/>
      <c r="AC683" s="409"/>
      <c r="AD683" s="409"/>
      <c r="AE683" s="409"/>
      <c r="AF683" s="409"/>
      <c r="AG683" s="409"/>
      <c r="AH683" s="409"/>
      <c r="AI683" s="409"/>
      <c r="AJ683" s="409"/>
      <c r="AK683" s="409"/>
      <c r="AL683" s="409"/>
      <c r="AM683" s="296">
        <f>SUM(Y683:AL683)</f>
        <v>1</v>
      </c>
    </row>
    <row r="684" spans="1:39" s="770" customFormat="1" outlineLevel="1">
      <c r="A684" s="779"/>
      <c r="B684" s="766" t="s">
        <v>310</v>
      </c>
      <c r="C684" s="758" t="s">
        <v>163</v>
      </c>
      <c r="D684" s="295"/>
      <c r="E684" s="295"/>
      <c r="F684" s="295"/>
      <c r="G684" s="295"/>
      <c r="H684" s="295"/>
      <c r="I684" s="295"/>
      <c r="J684" s="295"/>
      <c r="K684" s="295"/>
      <c r="L684" s="295"/>
      <c r="M684" s="295"/>
      <c r="N684" s="758"/>
      <c r="O684" s="295"/>
      <c r="P684" s="295"/>
      <c r="Q684" s="295"/>
      <c r="R684" s="295"/>
      <c r="S684" s="295"/>
      <c r="T684" s="295"/>
      <c r="U684" s="295"/>
      <c r="V684" s="295"/>
      <c r="W684" s="295"/>
      <c r="X684" s="295"/>
      <c r="Y684" s="410">
        <f>Y683</f>
        <v>1</v>
      </c>
      <c r="Z684" s="410">
        <f t="shared" ref="Z684:AL684" si="1954">Z683</f>
        <v>0</v>
      </c>
      <c r="AA684" s="410">
        <f t="shared" si="1954"/>
        <v>0</v>
      </c>
      <c r="AB684" s="410">
        <f t="shared" si="1954"/>
        <v>0</v>
      </c>
      <c r="AC684" s="410">
        <f t="shared" si="1954"/>
        <v>0</v>
      </c>
      <c r="AD684" s="410">
        <f t="shared" si="1954"/>
        <v>0</v>
      </c>
      <c r="AE684" s="410">
        <f t="shared" si="1954"/>
        <v>0</v>
      </c>
      <c r="AF684" s="410">
        <f t="shared" si="1954"/>
        <v>0</v>
      </c>
      <c r="AG684" s="410">
        <f t="shared" si="1954"/>
        <v>0</v>
      </c>
      <c r="AH684" s="410">
        <f t="shared" si="1954"/>
        <v>0</v>
      </c>
      <c r="AI684" s="410">
        <f t="shared" si="1954"/>
        <v>0</v>
      </c>
      <c r="AJ684" s="410">
        <f t="shared" si="1954"/>
        <v>0</v>
      </c>
      <c r="AK684" s="410">
        <f t="shared" si="1954"/>
        <v>0</v>
      </c>
      <c r="AL684" s="410">
        <f t="shared" si="1954"/>
        <v>0</v>
      </c>
      <c r="AM684" s="306"/>
    </row>
    <row r="685" spans="1:39" outlineLevel="1">
      <c r="A685" s="527"/>
      <c r="B685" s="294"/>
      <c r="C685" s="758"/>
      <c r="D685" s="758"/>
      <c r="E685" s="758"/>
      <c r="F685" s="758"/>
      <c r="G685" s="758"/>
      <c r="H685" s="758"/>
      <c r="I685" s="758"/>
      <c r="J685" s="758"/>
      <c r="K685" s="758"/>
      <c r="L685" s="758"/>
      <c r="M685" s="758"/>
      <c r="N685" s="758"/>
      <c r="O685" s="758"/>
      <c r="P685" s="758"/>
      <c r="Q685" s="758"/>
      <c r="R685" s="758"/>
      <c r="S685" s="758"/>
      <c r="T685" s="758"/>
      <c r="U685" s="758"/>
      <c r="V685" s="758"/>
      <c r="W685" s="758"/>
      <c r="X685" s="758"/>
      <c r="Y685" s="411"/>
      <c r="Z685" s="422"/>
      <c r="AA685" s="422"/>
      <c r="AB685" s="422"/>
      <c r="AC685" s="422"/>
      <c r="AD685" s="422"/>
      <c r="AE685" s="422"/>
      <c r="AF685" s="422"/>
      <c r="AG685" s="422"/>
      <c r="AH685" s="422"/>
      <c r="AI685" s="422"/>
      <c r="AJ685" s="422"/>
      <c r="AK685" s="422"/>
      <c r="AL685" s="422"/>
      <c r="AM685" s="306"/>
    </row>
    <row r="686" spans="1:39" ht="15.75" outlineLevel="1">
      <c r="A686" s="527"/>
      <c r="B686" s="288" t="s">
        <v>500</v>
      </c>
      <c r="C686" s="758"/>
      <c r="D686" s="758"/>
      <c r="E686" s="758"/>
      <c r="F686" s="758"/>
      <c r="G686" s="758"/>
      <c r="H686" s="758"/>
      <c r="I686" s="758"/>
      <c r="J686" s="758"/>
      <c r="K686" s="758"/>
      <c r="L686" s="758"/>
      <c r="M686" s="758"/>
      <c r="N686" s="758"/>
      <c r="O686" s="758"/>
      <c r="P686" s="758"/>
      <c r="Q686" s="758"/>
      <c r="R686" s="758"/>
      <c r="S686" s="758"/>
      <c r="T686" s="758"/>
      <c r="U686" s="758"/>
      <c r="V686" s="758"/>
      <c r="W686" s="758"/>
      <c r="X686" s="758"/>
      <c r="Y686" s="411"/>
      <c r="Z686" s="422"/>
      <c r="AA686" s="422"/>
      <c r="AB686" s="422"/>
      <c r="AC686" s="422"/>
      <c r="AD686" s="422"/>
      <c r="AE686" s="422"/>
      <c r="AF686" s="422"/>
      <c r="AG686" s="422"/>
      <c r="AH686" s="422"/>
      <c r="AI686" s="422"/>
      <c r="AJ686" s="422"/>
      <c r="AK686" s="422"/>
      <c r="AL686" s="422"/>
      <c r="AM686" s="306"/>
    </row>
    <row r="687" spans="1:39" ht="30" outlineLevel="1">
      <c r="A687" s="527">
        <v>25</v>
      </c>
      <c r="B687" s="425" t="s">
        <v>117</v>
      </c>
      <c r="C687" s="758" t="s">
        <v>25</v>
      </c>
      <c r="D687" s="295"/>
      <c r="E687" s="295"/>
      <c r="F687" s="295"/>
      <c r="G687" s="295"/>
      <c r="H687" s="295"/>
      <c r="I687" s="295"/>
      <c r="J687" s="295"/>
      <c r="K687" s="295"/>
      <c r="L687" s="295"/>
      <c r="M687" s="295"/>
      <c r="N687" s="295">
        <v>12</v>
      </c>
      <c r="O687" s="295"/>
      <c r="P687" s="295"/>
      <c r="Q687" s="295"/>
      <c r="R687" s="295"/>
      <c r="S687" s="295"/>
      <c r="T687" s="295"/>
      <c r="U687" s="295"/>
      <c r="V687" s="295"/>
      <c r="W687" s="295"/>
      <c r="X687" s="295"/>
      <c r="Y687" s="423"/>
      <c r="Z687" s="409"/>
      <c r="AA687" s="409"/>
      <c r="AB687" s="409"/>
      <c r="AC687" s="409"/>
      <c r="AD687" s="409"/>
      <c r="AE687" s="409"/>
      <c r="AF687" s="414"/>
      <c r="AG687" s="414"/>
      <c r="AH687" s="414"/>
      <c r="AI687" s="414"/>
      <c r="AJ687" s="414"/>
      <c r="AK687" s="414"/>
      <c r="AL687" s="414"/>
      <c r="AM687" s="296">
        <f>SUM(Y687:AL687)</f>
        <v>0</v>
      </c>
    </row>
    <row r="688" spans="1:39" outlineLevel="1">
      <c r="A688" s="527"/>
      <c r="B688" s="294" t="s">
        <v>310</v>
      </c>
      <c r="C688" s="758"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0">
        <f>Y687</f>
        <v>0</v>
      </c>
      <c r="Z688" s="410">
        <f t="shared" ref="Z688" si="1955">Z687</f>
        <v>0</v>
      </c>
      <c r="AA688" s="410">
        <f t="shared" ref="AA688" si="1956">AA687</f>
        <v>0</v>
      </c>
      <c r="AB688" s="410">
        <f t="shared" ref="AB688" si="1957">AB687</f>
        <v>0</v>
      </c>
      <c r="AC688" s="410">
        <f t="shared" ref="AC688" si="1958">AC687</f>
        <v>0</v>
      </c>
      <c r="AD688" s="410">
        <f t="shared" ref="AD688" si="1959">AD687</f>
        <v>0</v>
      </c>
      <c r="AE688" s="410">
        <f t="shared" ref="AE688" si="1960">AE687</f>
        <v>0</v>
      </c>
      <c r="AF688" s="410">
        <f t="shared" ref="AF688" si="1961">AF687</f>
        <v>0</v>
      </c>
      <c r="AG688" s="410">
        <f t="shared" ref="AG688" si="1962">AG687</f>
        <v>0</v>
      </c>
      <c r="AH688" s="410">
        <f t="shared" ref="AH688" si="1963">AH687</f>
        <v>0</v>
      </c>
      <c r="AI688" s="410">
        <f t="shared" ref="AI688" si="1964">AI687</f>
        <v>0</v>
      </c>
      <c r="AJ688" s="410">
        <f t="shared" ref="AJ688" si="1965">AJ687</f>
        <v>0</v>
      </c>
      <c r="AK688" s="410">
        <f t="shared" ref="AK688" si="1966">AK687</f>
        <v>0</v>
      </c>
      <c r="AL688" s="410">
        <f t="shared" ref="AL688" si="1967">AL687</f>
        <v>0</v>
      </c>
      <c r="AM688" s="306"/>
    </row>
    <row r="689" spans="1:39" outlineLevel="1">
      <c r="A689" s="527"/>
      <c r="B689" s="294"/>
      <c r="C689" s="758"/>
      <c r="D689" s="758"/>
      <c r="E689" s="758"/>
      <c r="F689" s="758"/>
      <c r="G689" s="758"/>
      <c r="H689" s="758"/>
      <c r="I689" s="758"/>
      <c r="J689" s="758"/>
      <c r="K689" s="758"/>
      <c r="L689" s="758"/>
      <c r="M689" s="758"/>
      <c r="N689" s="758"/>
      <c r="O689" s="758"/>
      <c r="P689" s="758"/>
      <c r="Q689" s="758"/>
      <c r="R689" s="758"/>
      <c r="S689" s="758"/>
      <c r="T689" s="758"/>
      <c r="U689" s="758"/>
      <c r="V689" s="758"/>
      <c r="W689" s="758"/>
      <c r="X689" s="758"/>
      <c r="Y689" s="411"/>
      <c r="Z689" s="422"/>
      <c r="AA689" s="422"/>
      <c r="AB689" s="422"/>
      <c r="AC689" s="422"/>
      <c r="AD689" s="422"/>
      <c r="AE689" s="422"/>
      <c r="AF689" s="422"/>
      <c r="AG689" s="422"/>
      <c r="AH689" s="422"/>
      <c r="AI689" s="422"/>
      <c r="AJ689" s="422"/>
      <c r="AK689" s="422"/>
      <c r="AL689" s="422"/>
      <c r="AM689" s="306"/>
    </row>
    <row r="690" spans="1:39" ht="30">
      <c r="A690" s="527">
        <v>26</v>
      </c>
      <c r="B690" s="425" t="s">
        <v>118</v>
      </c>
      <c r="C690" s="786" t="s">
        <v>781</v>
      </c>
      <c r="D690" s="295">
        <f>+'7.  Persistence Report'!AX218</f>
        <v>8990946</v>
      </c>
      <c r="E690" s="919">
        <f>+'7.  Persistence Report'!AY218</f>
        <v>8946485</v>
      </c>
      <c r="F690" s="919">
        <f>+'7.  Persistence Report'!AZ218</f>
        <v>8946485</v>
      </c>
      <c r="G690" s="919">
        <f>+'7.  Persistence Report'!BA218</f>
        <v>8946485</v>
      </c>
      <c r="H690" s="919">
        <f>+'7.  Persistence Report'!BB218</f>
        <v>8946485</v>
      </c>
      <c r="I690" s="919">
        <f>+'7.  Persistence Report'!BC218</f>
        <v>8946485</v>
      </c>
      <c r="J690" s="919">
        <f>+'7.  Persistence Report'!BD218</f>
        <v>0</v>
      </c>
      <c r="K690" s="919">
        <f>+'7.  Persistence Report'!BE218</f>
        <v>0</v>
      </c>
      <c r="L690" s="919">
        <f>+'7.  Persistence Report'!BF218</f>
        <v>0</v>
      </c>
      <c r="M690" s="919">
        <f>+'7.  Persistence Report'!BG218</f>
        <v>0</v>
      </c>
      <c r="N690" s="919">
        <v>12</v>
      </c>
      <c r="O690" s="919">
        <v>1032</v>
      </c>
      <c r="P690" s="919">
        <v>1032</v>
      </c>
      <c r="Q690" s="919">
        <v>1032</v>
      </c>
      <c r="R690" s="919">
        <v>1032</v>
      </c>
      <c r="S690" s="295"/>
      <c r="T690" s="295"/>
      <c r="U690" s="295"/>
      <c r="V690" s="295"/>
      <c r="W690" s="295"/>
      <c r="X690" s="295"/>
      <c r="Y690" s="423"/>
      <c r="Z690" s="924">
        <f>+'3-a.  Rate Class Allocations'!P51</f>
        <v>0.26300000000000001</v>
      </c>
      <c r="AA690" s="924">
        <f>+'3-a.  Rate Class Allocations'!Q51</f>
        <v>0.66800000000000004</v>
      </c>
      <c r="AB690" s="409"/>
      <c r="AC690" s="409"/>
      <c r="AD690" s="409"/>
      <c r="AE690" s="409"/>
      <c r="AF690" s="414"/>
      <c r="AG690" s="414"/>
      <c r="AH690" s="414"/>
      <c r="AI690" s="414"/>
      <c r="AJ690" s="414"/>
      <c r="AK690" s="414"/>
      <c r="AL690" s="414"/>
      <c r="AM690" s="296">
        <f>SUM(Y690:AL690)</f>
        <v>0.93100000000000005</v>
      </c>
    </row>
    <row r="691" spans="1:39">
      <c r="A691" s="527"/>
      <c r="B691" s="294" t="s">
        <v>310</v>
      </c>
      <c r="C691" s="758"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0">
        <f>Y690</f>
        <v>0</v>
      </c>
      <c r="Z691" s="410">
        <f t="shared" ref="Z691" si="1968">Z690</f>
        <v>0.26300000000000001</v>
      </c>
      <c r="AA691" s="410">
        <f t="shared" ref="AA691" si="1969">AA690</f>
        <v>0.66800000000000004</v>
      </c>
      <c r="AB691" s="410">
        <f t="shared" ref="AB691" si="1970">AB690</f>
        <v>0</v>
      </c>
      <c r="AC691" s="410">
        <f t="shared" ref="AC691" si="1971">AC690</f>
        <v>0</v>
      </c>
      <c r="AD691" s="410">
        <f t="shared" ref="AD691" si="1972">AD690</f>
        <v>0</v>
      </c>
      <c r="AE691" s="410">
        <f t="shared" ref="AE691" si="1973">AE690</f>
        <v>0</v>
      </c>
      <c r="AF691" s="410">
        <f t="shared" ref="AF691" si="1974">AF690</f>
        <v>0</v>
      </c>
      <c r="AG691" s="410">
        <f t="shared" ref="AG691" si="1975">AG690</f>
        <v>0</v>
      </c>
      <c r="AH691" s="410">
        <f t="shared" ref="AH691" si="1976">AH690</f>
        <v>0</v>
      </c>
      <c r="AI691" s="410">
        <f t="shared" ref="AI691" si="1977">AI690</f>
        <v>0</v>
      </c>
      <c r="AJ691" s="410">
        <f t="shared" ref="AJ691" si="1978">AJ690</f>
        <v>0</v>
      </c>
      <c r="AK691" s="410">
        <f t="shared" ref="AK691" si="1979">AK690</f>
        <v>0</v>
      </c>
      <c r="AL691" s="410">
        <f t="shared" ref="AL691" si="1980">AL690</f>
        <v>0</v>
      </c>
      <c r="AM691" s="306"/>
    </row>
    <row r="692" spans="1:39">
      <c r="A692" s="527"/>
      <c r="B692" s="294"/>
      <c r="C692" s="758"/>
      <c r="D692" s="758"/>
      <c r="E692" s="758"/>
      <c r="F692" s="758"/>
      <c r="G692" s="758"/>
      <c r="H692" s="758"/>
      <c r="I692" s="758"/>
      <c r="J692" s="758"/>
      <c r="K692" s="758"/>
      <c r="L692" s="758"/>
      <c r="M692" s="758"/>
      <c r="N692" s="758"/>
      <c r="O692" s="758"/>
      <c r="P692" s="758"/>
      <c r="Q692" s="758"/>
      <c r="R692" s="758"/>
      <c r="S692" s="758"/>
      <c r="T692" s="758"/>
      <c r="U692" s="758"/>
      <c r="V692" s="758"/>
      <c r="W692" s="758"/>
      <c r="X692" s="758"/>
      <c r="Y692" s="411"/>
      <c r="Z692" s="422"/>
      <c r="AA692" s="422"/>
      <c r="AB692" s="422"/>
      <c r="AC692" s="422"/>
      <c r="AD692" s="422"/>
      <c r="AE692" s="422"/>
      <c r="AF692" s="422"/>
      <c r="AG692" s="422"/>
      <c r="AH692" s="422"/>
      <c r="AI692" s="422"/>
      <c r="AJ692" s="422"/>
      <c r="AK692" s="422"/>
      <c r="AL692" s="422"/>
      <c r="AM692" s="306"/>
    </row>
    <row r="693" spans="1:39" ht="30">
      <c r="A693" s="527">
        <v>27</v>
      </c>
      <c r="B693" s="425" t="s">
        <v>119</v>
      </c>
      <c r="C693" s="786" t="s">
        <v>781</v>
      </c>
      <c r="D693" s="295">
        <f>+'7.  Persistence Report'!AX219</f>
        <v>659987</v>
      </c>
      <c r="E693" s="919">
        <f>+'7.  Persistence Report'!AY219</f>
        <v>424364</v>
      </c>
      <c r="F693" s="919">
        <f>+'7.  Persistence Report'!AZ219</f>
        <v>424364</v>
      </c>
      <c r="G693" s="919">
        <f>+'7.  Persistence Report'!BA219</f>
        <v>424364</v>
      </c>
      <c r="H693" s="919">
        <f>+'7.  Persistence Report'!BB219</f>
        <v>424364</v>
      </c>
      <c r="I693" s="919">
        <f>+'7.  Persistence Report'!BC219</f>
        <v>424364</v>
      </c>
      <c r="J693" s="919">
        <f>+'7.  Persistence Report'!BD219</f>
        <v>0</v>
      </c>
      <c r="K693" s="919">
        <f>+'7.  Persistence Report'!BE219</f>
        <v>0</v>
      </c>
      <c r="L693" s="919">
        <f>+'7.  Persistence Report'!BF219</f>
        <v>0</v>
      </c>
      <c r="M693" s="919">
        <f>+'7.  Persistence Report'!BG219</f>
        <v>0</v>
      </c>
      <c r="N693" s="919">
        <v>12</v>
      </c>
      <c r="O693" s="919">
        <v>1.5669999999999999</v>
      </c>
      <c r="P693" s="919">
        <v>1.5669999999999999</v>
      </c>
      <c r="Q693" s="919">
        <v>1.5669999999999999</v>
      </c>
      <c r="R693" s="919"/>
      <c r="S693" s="295"/>
      <c r="T693" s="295"/>
      <c r="U693" s="295"/>
      <c r="V693" s="295"/>
      <c r="W693" s="295"/>
      <c r="X693" s="295"/>
      <c r="Y693" s="423"/>
      <c r="Z693" s="924">
        <f>+'3-a.  Rate Class Allocations'!P52</f>
        <v>0.98899999999999999</v>
      </c>
      <c r="AA693" s="924">
        <f>+'3-a.  Rate Class Allocations'!Q52</f>
        <v>1.0999999999999999E-2</v>
      </c>
      <c r="AB693" s="409"/>
      <c r="AC693" s="409"/>
      <c r="AD693" s="409"/>
      <c r="AE693" s="409"/>
      <c r="AF693" s="414"/>
      <c r="AG693" s="414"/>
      <c r="AH693" s="414"/>
      <c r="AI693" s="414"/>
      <c r="AJ693" s="414"/>
      <c r="AK693" s="414"/>
      <c r="AL693" s="414"/>
      <c r="AM693" s="296">
        <f>SUM(Y693:AL693)</f>
        <v>1</v>
      </c>
    </row>
    <row r="694" spans="1:39">
      <c r="A694" s="527"/>
      <c r="B694" s="294" t="s">
        <v>310</v>
      </c>
      <c r="C694" s="758"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0">
        <f>Y693</f>
        <v>0</v>
      </c>
      <c r="Z694" s="410">
        <f t="shared" ref="Z694" si="1981">Z693</f>
        <v>0.98899999999999999</v>
      </c>
      <c r="AA694" s="410">
        <f t="shared" ref="AA694" si="1982">AA693</f>
        <v>1.0999999999999999E-2</v>
      </c>
      <c r="AB694" s="410">
        <f t="shared" ref="AB694" si="1983">AB693</f>
        <v>0</v>
      </c>
      <c r="AC694" s="410">
        <f t="shared" ref="AC694" si="1984">AC693</f>
        <v>0</v>
      </c>
      <c r="AD694" s="410">
        <f t="shared" ref="AD694" si="1985">AD693</f>
        <v>0</v>
      </c>
      <c r="AE694" s="410">
        <f t="shared" ref="AE694" si="1986">AE693</f>
        <v>0</v>
      </c>
      <c r="AF694" s="410">
        <f t="shared" ref="AF694" si="1987">AF693</f>
        <v>0</v>
      </c>
      <c r="AG694" s="410">
        <f t="shared" ref="AG694" si="1988">AG693</f>
        <v>0</v>
      </c>
      <c r="AH694" s="410">
        <f t="shared" ref="AH694" si="1989">AH693</f>
        <v>0</v>
      </c>
      <c r="AI694" s="410">
        <f t="shared" ref="AI694" si="1990">AI693</f>
        <v>0</v>
      </c>
      <c r="AJ694" s="410">
        <f t="shared" ref="AJ694" si="1991">AJ693</f>
        <v>0</v>
      </c>
      <c r="AK694" s="410">
        <f t="shared" ref="AK694" si="1992">AK693</f>
        <v>0</v>
      </c>
      <c r="AL694" s="410">
        <f t="shared" ref="AL694" si="1993">AL693</f>
        <v>0</v>
      </c>
      <c r="AM694" s="306"/>
    </row>
    <row r="695" spans="1:39">
      <c r="A695" s="527"/>
      <c r="B695" s="294"/>
      <c r="C695" s="758"/>
      <c r="D695" s="758"/>
      <c r="E695" s="758"/>
      <c r="F695" s="758"/>
      <c r="G695" s="758"/>
      <c r="H695" s="758"/>
      <c r="I695" s="758"/>
      <c r="J695" s="758"/>
      <c r="K695" s="758"/>
      <c r="L695" s="758"/>
      <c r="M695" s="758"/>
      <c r="N695" s="758"/>
      <c r="O695" s="758"/>
      <c r="P695" s="758"/>
      <c r="Q695" s="758"/>
      <c r="R695" s="758"/>
      <c r="S695" s="758"/>
      <c r="T695" s="758"/>
      <c r="U695" s="758"/>
      <c r="V695" s="758"/>
      <c r="W695" s="758"/>
      <c r="X695" s="758"/>
      <c r="Y695" s="411"/>
      <c r="Z695" s="422"/>
      <c r="AA695" s="422"/>
      <c r="AB695" s="422"/>
      <c r="AC695" s="422"/>
      <c r="AD695" s="422"/>
      <c r="AE695" s="422"/>
      <c r="AF695" s="422"/>
      <c r="AG695" s="422"/>
      <c r="AH695" s="422"/>
      <c r="AI695" s="422"/>
      <c r="AJ695" s="422"/>
      <c r="AK695" s="422"/>
      <c r="AL695" s="422"/>
      <c r="AM695" s="306"/>
    </row>
    <row r="696" spans="1:39" ht="45" outlineLevel="1">
      <c r="A696" s="527">
        <v>28</v>
      </c>
      <c r="B696" s="425" t="s">
        <v>120</v>
      </c>
      <c r="C696" s="786" t="s">
        <v>781</v>
      </c>
      <c r="D696" s="295">
        <f>+'7.  Persistence Report'!AX221</f>
        <v>22224</v>
      </c>
      <c r="E696" s="919">
        <f>+'7.  Persistence Report'!AY221</f>
        <v>22003</v>
      </c>
      <c r="F696" s="919">
        <f>+'7.  Persistence Report'!AZ221</f>
        <v>22003</v>
      </c>
      <c r="G696" s="919">
        <f>+'7.  Persistence Report'!BA221</f>
        <v>22003</v>
      </c>
      <c r="H696" s="919">
        <f>+'7.  Persistence Report'!BB221</f>
        <v>22003</v>
      </c>
      <c r="I696" s="919">
        <f>+'7.  Persistence Report'!BC221</f>
        <v>22003</v>
      </c>
      <c r="J696" s="919">
        <f>+'7.  Persistence Report'!BD221</f>
        <v>0</v>
      </c>
      <c r="K696" s="919">
        <f>+'7.  Persistence Report'!BE221</f>
        <v>0</v>
      </c>
      <c r="L696" s="919">
        <f>+'7.  Persistence Report'!BF221</f>
        <v>0</v>
      </c>
      <c r="M696" s="919">
        <f>+'7.  Persistence Report'!BG221</f>
        <v>0</v>
      </c>
      <c r="N696" s="919">
        <v>12</v>
      </c>
      <c r="O696" s="919">
        <v>100.46</v>
      </c>
      <c r="P696" s="919">
        <v>100.46</v>
      </c>
      <c r="Q696" s="919">
        <v>100.46</v>
      </c>
      <c r="R696" s="919">
        <v>100.46</v>
      </c>
      <c r="S696" s="295"/>
      <c r="T696" s="295"/>
      <c r="U696" s="295"/>
      <c r="V696" s="295"/>
      <c r="W696" s="295"/>
      <c r="X696" s="295"/>
      <c r="Y696" s="423"/>
      <c r="Z696" s="409">
        <v>1</v>
      </c>
      <c r="AA696" s="924"/>
      <c r="AB696" s="924"/>
      <c r="AC696" s="409"/>
      <c r="AD696" s="409"/>
      <c r="AE696" s="409"/>
      <c r="AF696" s="414"/>
      <c r="AG696" s="414"/>
      <c r="AH696" s="414"/>
      <c r="AI696" s="414"/>
      <c r="AJ696" s="414"/>
      <c r="AK696" s="414"/>
      <c r="AL696" s="414"/>
      <c r="AM696" s="296">
        <f>SUM(Y696:AL696)</f>
        <v>1</v>
      </c>
    </row>
    <row r="697" spans="1:39" outlineLevel="1">
      <c r="A697" s="527"/>
      <c r="B697" s="294" t="s">
        <v>310</v>
      </c>
      <c r="C697" s="758" t="s">
        <v>163</v>
      </c>
      <c r="D697" s="295"/>
      <c r="E697" s="295"/>
      <c r="F697" s="295"/>
      <c r="G697" s="295"/>
      <c r="H697" s="295"/>
      <c r="I697" s="295"/>
      <c r="J697" s="295"/>
      <c r="K697" s="295"/>
      <c r="L697" s="295"/>
      <c r="M697" s="295"/>
      <c r="N697" s="295">
        <f>N696</f>
        <v>12</v>
      </c>
      <c r="O697" s="295"/>
      <c r="P697" s="295"/>
      <c r="Q697" s="295"/>
      <c r="R697" s="295"/>
      <c r="S697" s="295"/>
      <c r="T697" s="295"/>
      <c r="U697" s="295"/>
      <c r="V697" s="295"/>
      <c r="W697" s="295"/>
      <c r="X697" s="295"/>
      <c r="Y697" s="410">
        <f>Y696</f>
        <v>0</v>
      </c>
      <c r="Z697" s="410">
        <f t="shared" ref="Z697" si="1994">Z696</f>
        <v>1</v>
      </c>
      <c r="AA697" s="410">
        <f t="shared" ref="AA697" si="1995">AA696</f>
        <v>0</v>
      </c>
      <c r="AB697" s="410">
        <f t="shared" ref="AB697" si="1996">AB696</f>
        <v>0</v>
      </c>
      <c r="AC697" s="410">
        <f t="shared" ref="AC697" si="1997">AC696</f>
        <v>0</v>
      </c>
      <c r="AD697" s="410">
        <f t="shared" ref="AD697" si="1998">AD696</f>
        <v>0</v>
      </c>
      <c r="AE697" s="410">
        <f t="shared" ref="AE697" si="1999">AE696</f>
        <v>0</v>
      </c>
      <c r="AF697" s="410">
        <f t="shared" ref="AF697" si="2000">AF696</f>
        <v>0</v>
      </c>
      <c r="AG697" s="410">
        <f t="shared" ref="AG697" si="2001">AG696</f>
        <v>0</v>
      </c>
      <c r="AH697" s="410">
        <f t="shared" ref="AH697" si="2002">AH696</f>
        <v>0</v>
      </c>
      <c r="AI697" s="410">
        <f t="shared" ref="AI697" si="2003">AI696</f>
        <v>0</v>
      </c>
      <c r="AJ697" s="410">
        <f t="shared" ref="AJ697" si="2004">AJ696</f>
        <v>0</v>
      </c>
      <c r="AK697" s="410">
        <f t="shared" ref="AK697" si="2005">AK696</f>
        <v>0</v>
      </c>
      <c r="AL697" s="410">
        <f t="shared" ref="AL697" si="2006">AL696</f>
        <v>0</v>
      </c>
      <c r="AM697" s="306"/>
    </row>
    <row r="698" spans="1:39" outlineLevel="1">
      <c r="A698" s="527"/>
      <c r="B698" s="294"/>
      <c r="C698" s="758"/>
      <c r="D698" s="758"/>
      <c r="E698" s="758"/>
      <c r="F698" s="758"/>
      <c r="G698" s="758"/>
      <c r="H698" s="758"/>
      <c r="I698" s="758"/>
      <c r="J698" s="758"/>
      <c r="K698" s="758"/>
      <c r="L698" s="758"/>
      <c r="M698" s="758"/>
      <c r="N698" s="758"/>
      <c r="O698" s="758"/>
      <c r="P698" s="758"/>
      <c r="Q698" s="758"/>
      <c r="R698" s="758"/>
      <c r="S698" s="758"/>
      <c r="T698" s="758"/>
      <c r="U698" s="758"/>
      <c r="V698" s="758"/>
      <c r="W698" s="758"/>
      <c r="X698" s="758"/>
      <c r="Y698" s="411"/>
      <c r="Z698" s="422"/>
      <c r="AA698" s="422"/>
      <c r="AB698" s="422"/>
      <c r="AC698" s="422"/>
      <c r="AD698" s="422"/>
      <c r="AE698" s="422"/>
      <c r="AF698" s="422"/>
      <c r="AG698" s="422"/>
      <c r="AH698" s="422"/>
      <c r="AI698" s="422"/>
      <c r="AJ698" s="422"/>
      <c r="AK698" s="422"/>
      <c r="AL698" s="422"/>
      <c r="AM698" s="306"/>
    </row>
    <row r="699" spans="1:39" ht="45" outlineLevel="1">
      <c r="A699" s="527">
        <v>29</v>
      </c>
      <c r="B699" s="425" t="s">
        <v>121</v>
      </c>
      <c r="C699" s="758" t="s">
        <v>25</v>
      </c>
      <c r="D699" s="295"/>
      <c r="E699" s="295"/>
      <c r="F699" s="295"/>
      <c r="G699" s="295"/>
      <c r="H699" s="295"/>
      <c r="I699" s="295"/>
      <c r="J699" s="295"/>
      <c r="K699" s="295"/>
      <c r="L699" s="295"/>
      <c r="M699" s="295"/>
      <c r="N699" s="295">
        <v>3</v>
      </c>
      <c r="O699" s="295"/>
      <c r="P699" s="295"/>
      <c r="Q699" s="295"/>
      <c r="R699" s="295"/>
      <c r="S699" s="295"/>
      <c r="T699" s="295"/>
      <c r="U699" s="295"/>
      <c r="V699" s="295"/>
      <c r="W699" s="295"/>
      <c r="X699" s="295"/>
      <c r="Y699" s="423"/>
      <c r="Z699" s="409"/>
      <c r="AA699" s="409"/>
      <c r="AB699" s="409"/>
      <c r="AC699" s="409"/>
      <c r="AD699" s="409"/>
      <c r="AE699" s="409"/>
      <c r="AF699" s="414"/>
      <c r="AG699" s="414"/>
      <c r="AH699" s="414"/>
      <c r="AI699" s="414"/>
      <c r="AJ699" s="414"/>
      <c r="AK699" s="414"/>
      <c r="AL699" s="414"/>
      <c r="AM699" s="296">
        <f>SUM(Y699:AL699)</f>
        <v>0</v>
      </c>
    </row>
    <row r="700" spans="1:39" outlineLevel="1">
      <c r="A700" s="527"/>
      <c r="B700" s="294" t="s">
        <v>310</v>
      </c>
      <c r="C700" s="758" t="s">
        <v>163</v>
      </c>
      <c r="D700" s="295"/>
      <c r="E700" s="295"/>
      <c r="F700" s="295"/>
      <c r="G700" s="295"/>
      <c r="H700" s="295"/>
      <c r="I700" s="295"/>
      <c r="J700" s="295"/>
      <c r="K700" s="295"/>
      <c r="L700" s="295"/>
      <c r="M700" s="295"/>
      <c r="N700" s="295">
        <f>N699</f>
        <v>3</v>
      </c>
      <c r="O700" s="295"/>
      <c r="P700" s="295"/>
      <c r="Q700" s="295"/>
      <c r="R700" s="295"/>
      <c r="S700" s="295"/>
      <c r="T700" s="295"/>
      <c r="U700" s="295"/>
      <c r="V700" s="295"/>
      <c r="W700" s="295"/>
      <c r="X700" s="295"/>
      <c r="Y700" s="410">
        <f>Y699</f>
        <v>0</v>
      </c>
      <c r="Z700" s="410">
        <f t="shared" ref="Z700" si="2007">Z699</f>
        <v>0</v>
      </c>
      <c r="AA700" s="410">
        <f t="shared" ref="AA700" si="2008">AA699</f>
        <v>0</v>
      </c>
      <c r="AB700" s="410">
        <f t="shared" ref="AB700" si="2009">AB699</f>
        <v>0</v>
      </c>
      <c r="AC700" s="410">
        <f t="shared" ref="AC700" si="2010">AC699</f>
        <v>0</v>
      </c>
      <c r="AD700" s="410">
        <f t="shared" ref="AD700" si="2011">AD699</f>
        <v>0</v>
      </c>
      <c r="AE700" s="410">
        <f t="shared" ref="AE700" si="2012">AE699</f>
        <v>0</v>
      </c>
      <c r="AF700" s="410">
        <f t="shared" ref="AF700" si="2013">AF699</f>
        <v>0</v>
      </c>
      <c r="AG700" s="410">
        <f t="shared" ref="AG700" si="2014">AG699</f>
        <v>0</v>
      </c>
      <c r="AH700" s="410">
        <f t="shared" ref="AH700" si="2015">AH699</f>
        <v>0</v>
      </c>
      <c r="AI700" s="410">
        <f t="shared" ref="AI700" si="2016">AI699</f>
        <v>0</v>
      </c>
      <c r="AJ700" s="410">
        <f t="shared" ref="AJ700" si="2017">AJ699</f>
        <v>0</v>
      </c>
      <c r="AK700" s="410">
        <f t="shared" ref="AK700" si="2018">AK699</f>
        <v>0</v>
      </c>
      <c r="AL700" s="410">
        <f t="shared" ref="AL700" si="2019">AL699</f>
        <v>0</v>
      </c>
      <c r="AM700" s="306"/>
    </row>
    <row r="701" spans="1:39" outlineLevel="1">
      <c r="A701" s="527"/>
      <c r="B701" s="294"/>
      <c r="C701" s="758"/>
      <c r="D701" s="758"/>
      <c r="E701" s="758"/>
      <c r="F701" s="758"/>
      <c r="G701" s="758"/>
      <c r="H701" s="758"/>
      <c r="I701" s="758"/>
      <c r="J701" s="758"/>
      <c r="K701" s="758"/>
      <c r="L701" s="758"/>
      <c r="M701" s="758"/>
      <c r="N701" s="758"/>
      <c r="O701" s="758"/>
      <c r="P701" s="758"/>
      <c r="Q701" s="758"/>
      <c r="R701" s="758"/>
      <c r="S701" s="758"/>
      <c r="T701" s="758"/>
      <c r="U701" s="758"/>
      <c r="V701" s="758"/>
      <c r="W701" s="758"/>
      <c r="X701" s="758"/>
      <c r="Y701" s="411"/>
      <c r="Z701" s="422"/>
      <c r="AA701" s="422"/>
      <c r="AB701" s="422"/>
      <c r="AC701" s="422"/>
      <c r="AD701" s="422"/>
      <c r="AE701" s="422"/>
      <c r="AF701" s="422"/>
      <c r="AG701" s="422"/>
      <c r="AH701" s="422"/>
      <c r="AI701" s="422"/>
      <c r="AJ701" s="422"/>
      <c r="AK701" s="422"/>
      <c r="AL701" s="422"/>
      <c r="AM701" s="306"/>
    </row>
    <row r="702" spans="1:39" ht="30" outlineLevel="1">
      <c r="A702" s="527">
        <v>30</v>
      </c>
      <c r="B702" s="425" t="s">
        <v>122</v>
      </c>
      <c r="C702" s="758"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3"/>
      <c r="Z702" s="409"/>
      <c r="AA702" s="409"/>
      <c r="AB702" s="409"/>
      <c r="AC702" s="409"/>
      <c r="AD702" s="409"/>
      <c r="AE702" s="409"/>
      <c r="AF702" s="414"/>
      <c r="AG702" s="414"/>
      <c r="AH702" s="414"/>
      <c r="AI702" s="414"/>
      <c r="AJ702" s="414"/>
      <c r="AK702" s="414"/>
      <c r="AL702" s="414"/>
      <c r="AM702" s="296">
        <f>SUM(Y702:AL702)</f>
        <v>0</v>
      </c>
    </row>
    <row r="703" spans="1:39" outlineLevel="1">
      <c r="A703" s="527"/>
      <c r="B703" s="294" t="s">
        <v>310</v>
      </c>
      <c r="C703" s="758"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0">
        <f>Y702</f>
        <v>0</v>
      </c>
      <c r="Z703" s="410">
        <f t="shared" ref="Z703" si="2020">Z702</f>
        <v>0</v>
      </c>
      <c r="AA703" s="410">
        <f t="shared" ref="AA703" si="2021">AA702</f>
        <v>0</v>
      </c>
      <c r="AB703" s="410">
        <f t="shared" ref="AB703" si="2022">AB702</f>
        <v>0</v>
      </c>
      <c r="AC703" s="410">
        <f t="shared" ref="AC703" si="2023">AC702</f>
        <v>0</v>
      </c>
      <c r="AD703" s="410">
        <f t="shared" ref="AD703" si="2024">AD702</f>
        <v>0</v>
      </c>
      <c r="AE703" s="410">
        <f t="shared" ref="AE703" si="2025">AE702</f>
        <v>0</v>
      </c>
      <c r="AF703" s="410">
        <f t="shared" ref="AF703" si="2026">AF702</f>
        <v>0</v>
      </c>
      <c r="AG703" s="410">
        <f t="shared" ref="AG703" si="2027">AG702</f>
        <v>0</v>
      </c>
      <c r="AH703" s="410">
        <f t="shared" ref="AH703" si="2028">AH702</f>
        <v>0</v>
      </c>
      <c r="AI703" s="410">
        <f t="shared" ref="AI703" si="2029">AI702</f>
        <v>0</v>
      </c>
      <c r="AJ703" s="410">
        <f t="shared" ref="AJ703" si="2030">AJ702</f>
        <v>0</v>
      </c>
      <c r="AK703" s="410">
        <f t="shared" ref="AK703" si="2031">AK702</f>
        <v>0</v>
      </c>
      <c r="AL703" s="410">
        <f t="shared" ref="AL703" si="2032">AL702</f>
        <v>0</v>
      </c>
      <c r="AM703" s="306"/>
    </row>
    <row r="704" spans="1:39" outlineLevel="1">
      <c r="A704" s="527"/>
      <c r="B704" s="294"/>
      <c r="C704" s="758"/>
      <c r="D704" s="758"/>
      <c r="E704" s="758"/>
      <c r="F704" s="758"/>
      <c r="G704" s="758"/>
      <c r="H704" s="758"/>
      <c r="I704" s="758"/>
      <c r="J704" s="758"/>
      <c r="K704" s="758"/>
      <c r="L704" s="758"/>
      <c r="M704" s="758"/>
      <c r="N704" s="758"/>
      <c r="O704" s="758"/>
      <c r="P704" s="758"/>
      <c r="Q704" s="758"/>
      <c r="R704" s="758"/>
      <c r="S704" s="758"/>
      <c r="T704" s="758"/>
      <c r="U704" s="758"/>
      <c r="V704" s="758"/>
      <c r="W704" s="758"/>
      <c r="X704" s="758"/>
      <c r="Y704" s="411"/>
      <c r="Z704" s="422"/>
      <c r="AA704" s="422"/>
      <c r="AB704" s="422"/>
      <c r="AC704" s="422"/>
      <c r="AD704" s="422"/>
      <c r="AE704" s="422"/>
      <c r="AF704" s="422"/>
      <c r="AG704" s="422"/>
      <c r="AH704" s="422"/>
      <c r="AI704" s="422"/>
      <c r="AJ704" s="422"/>
      <c r="AK704" s="422"/>
      <c r="AL704" s="422"/>
      <c r="AM704" s="306"/>
    </row>
    <row r="705" spans="1:39" ht="30" outlineLevel="1">
      <c r="A705" s="527">
        <v>31</v>
      </c>
      <c r="B705" s="425" t="s">
        <v>123</v>
      </c>
      <c r="C705" s="758"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3"/>
      <c r="Z705" s="409"/>
      <c r="AA705" s="409"/>
      <c r="AB705" s="409"/>
      <c r="AC705" s="409"/>
      <c r="AD705" s="409"/>
      <c r="AE705" s="409"/>
      <c r="AF705" s="414"/>
      <c r="AG705" s="414"/>
      <c r="AH705" s="414"/>
      <c r="AI705" s="414"/>
      <c r="AJ705" s="414"/>
      <c r="AK705" s="414"/>
      <c r="AL705" s="414"/>
      <c r="AM705" s="296">
        <f>SUM(Y705:AL705)</f>
        <v>0</v>
      </c>
    </row>
    <row r="706" spans="1:39" outlineLevel="1">
      <c r="A706" s="527"/>
      <c r="B706" s="294" t="s">
        <v>310</v>
      </c>
      <c r="C706" s="758"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0">
        <f>Y705</f>
        <v>0</v>
      </c>
      <c r="Z706" s="410">
        <f t="shared" ref="Z706" si="2033">Z705</f>
        <v>0</v>
      </c>
      <c r="AA706" s="410">
        <f t="shared" ref="AA706" si="2034">AA705</f>
        <v>0</v>
      </c>
      <c r="AB706" s="410">
        <f t="shared" ref="AB706" si="2035">AB705</f>
        <v>0</v>
      </c>
      <c r="AC706" s="410">
        <f t="shared" ref="AC706" si="2036">AC705</f>
        <v>0</v>
      </c>
      <c r="AD706" s="410">
        <f t="shared" ref="AD706" si="2037">AD705</f>
        <v>0</v>
      </c>
      <c r="AE706" s="410">
        <f t="shared" ref="AE706" si="2038">AE705</f>
        <v>0</v>
      </c>
      <c r="AF706" s="410">
        <f t="shared" ref="AF706" si="2039">AF705</f>
        <v>0</v>
      </c>
      <c r="AG706" s="410">
        <f t="shared" ref="AG706" si="2040">AG705</f>
        <v>0</v>
      </c>
      <c r="AH706" s="410">
        <f t="shared" ref="AH706" si="2041">AH705</f>
        <v>0</v>
      </c>
      <c r="AI706" s="410">
        <f t="shared" ref="AI706" si="2042">AI705</f>
        <v>0</v>
      </c>
      <c r="AJ706" s="410">
        <f t="shared" ref="AJ706" si="2043">AJ705</f>
        <v>0</v>
      </c>
      <c r="AK706" s="410">
        <f t="shared" ref="AK706" si="2044">AK705</f>
        <v>0</v>
      </c>
      <c r="AL706" s="410">
        <f t="shared" ref="AL706" si="2045">AL705</f>
        <v>0</v>
      </c>
      <c r="AM706" s="306"/>
    </row>
    <row r="707" spans="1:39" outlineLevel="1">
      <c r="A707" s="527"/>
      <c r="B707" s="425"/>
      <c r="C707" s="758"/>
      <c r="D707" s="758"/>
      <c r="E707" s="758"/>
      <c r="F707" s="758"/>
      <c r="G707" s="758"/>
      <c r="H707" s="758"/>
      <c r="I707" s="758"/>
      <c r="J707" s="758"/>
      <c r="K707" s="758"/>
      <c r="L707" s="758"/>
      <c r="M707" s="758"/>
      <c r="N707" s="758"/>
      <c r="O707" s="758"/>
      <c r="P707" s="758"/>
      <c r="Q707" s="758"/>
      <c r="R707" s="758"/>
      <c r="S707" s="758"/>
      <c r="T707" s="758"/>
      <c r="U707" s="758"/>
      <c r="V707" s="758"/>
      <c r="W707" s="758"/>
      <c r="X707" s="758"/>
      <c r="Y707" s="411"/>
      <c r="Z707" s="422"/>
      <c r="AA707" s="422"/>
      <c r="AB707" s="422"/>
      <c r="AC707" s="422"/>
      <c r="AD707" s="422"/>
      <c r="AE707" s="422"/>
      <c r="AF707" s="422"/>
      <c r="AG707" s="422"/>
      <c r="AH707" s="422"/>
      <c r="AI707" s="422"/>
      <c r="AJ707" s="422"/>
      <c r="AK707" s="422"/>
      <c r="AL707" s="422"/>
      <c r="AM707" s="306"/>
    </row>
    <row r="708" spans="1:39" ht="30" outlineLevel="1">
      <c r="A708" s="527">
        <v>32</v>
      </c>
      <c r="B708" s="425" t="s">
        <v>124</v>
      </c>
      <c r="C708" s="758"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3"/>
      <c r="Z708" s="409"/>
      <c r="AA708" s="409"/>
      <c r="AB708" s="409"/>
      <c r="AC708" s="409"/>
      <c r="AD708" s="409"/>
      <c r="AE708" s="409"/>
      <c r="AF708" s="414"/>
      <c r="AG708" s="414"/>
      <c r="AH708" s="414"/>
      <c r="AI708" s="414"/>
      <c r="AJ708" s="414"/>
      <c r="AK708" s="414"/>
      <c r="AL708" s="414"/>
      <c r="AM708" s="296">
        <f>SUM(Y708:AL708)</f>
        <v>0</v>
      </c>
    </row>
    <row r="709" spans="1:39" outlineLevel="1">
      <c r="A709" s="527"/>
      <c r="B709" s="294" t="s">
        <v>310</v>
      </c>
      <c r="C709" s="758"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0">
        <f>Y708</f>
        <v>0</v>
      </c>
      <c r="Z709" s="410">
        <f t="shared" ref="Z709" si="2046">Z708</f>
        <v>0</v>
      </c>
      <c r="AA709" s="410">
        <f t="shared" ref="AA709" si="2047">AA708</f>
        <v>0</v>
      </c>
      <c r="AB709" s="410">
        <f t="shared" ref="AB709" si="2048">AB708</f>
        <v>0</v>
      </c>
      <c r="AC709" s="410">
        <f t="shared" ref="AC709" si="2049">AC708</f>
        <v>0</v>
      </c>
      <c r="AD709" s="410">
        <f t="shared" ref="AD709" si="2050">AD708</f>
        <v>0</v>
      </c>
      <c r="AE709" s="410">
        <f t="shared" ref="AE709" si="2051">AE708</f>
        <v>0</v>
      </c>
      <c r="AF709" s="410">
        <f t="shared" ref="AF709" si="2052">AF708</f>
        <v>0</v>
      </c>
      <c r="AG709" s="410">
        <f t="shared" ref="AG709" si="2053">AG708</f>
        <v>0</v>
      </c>
      <c r="AH709" s="410">
        <f t="shared" ref="AH709" si="2054">AH708</f>
        <v>0</v>
      </c>
      <c r="AI709" s="410">
        <f t="shared" ref="AI709" si="2055">AI708</f>
        <v>0</v>
      </c>
      <c r="AJ709" s="410">
        <f t="shared" ref="AJ709" si="2056">AJ708</f>
        <v>0</v>
      </c>
      <c r="AK709" s="410">
        <f t="shared" ref="AK709" si="2057">AK708</f>
        <v>0</v>
      </c>
      <c r="AL709" s="410">
        <f t="shared" ref="AL709" si="2058">AL708</f>
        <v>0</v>
      </c>
      <c r="AM709" s="306"/>
    </row>
    <row r="710" spans="1:39" outlineLevel="1">
      <c r="A710" s="527"/>
      <c r="B710" s="425"/>
      <c r="C710" s="758"/>
      <c r="D710" s="758"/>
      <c r="E710" s="758"/>
      <c r="F710" s="758"/>
      <c r="G710" s="758"/>
      <c r="H710" s="758"/>
      <c r="I710" s="758"/>
      <c r="J710" s="758"/>
      <c r="K710" s="758"/>
      <c r="L710" s="758"/>
      <c r="M710" s="758"/>
      <c r="N710" s="758"/>
      <c r="O710" s="758"/>
      <c r="P710" s="758"/>
      <c r="Q710" s="758"/>
      <c r="R710" s="758"/>
      <c r="S710" s="758"/>
      <c r="T710" s="758"/>
      <c r="U710" s="758"/>
      <c r="V710" s="758"/>
      <c r="W710" s="758"/>
      <c r="X710" s="758"/>
      <c r="Y710" s="411"/>
      <c r="Z710" s="422"/>
      <c r="AA710" s="422"/>
      <c r="AB710" s="422"/>
      <c r="AC710" s="422"/>
      <c r="AD710" s="422"/>
      <c r="AE710" s="422"/>
      <c r="AF710" s="422"/>
      <c r="AG710" s="422"/>
      <c r="AH710" s="422"/>
      <c r="AI710" s="422"/>
      <c r="AJ710" s="422"/>
      <c r="AK710" s="422"/>
      <c r="AL710" s="422"/>
      <c r="AM710" s="306"/>
    </row>
    <row r="711" spans="1:39" ht="15.75" outlineLevel="1">
      <c r="A711" s="527"/>
      <c r="B711" s="288" t="s">
        <v>501</v>
      </c>
      <c r="C711" s="758"/>
      <c r="D711" s="758"/>
      <c r="E711" s="758"/>
      <c r="F711" s="758"/>
      <c r="G711" s="758"/>
      <c r="H711" s="758"/>
      <c r="I711" s="758"/>
      <c r="J711" s="758"/>
      <c r="K711" s="758"/>
      <c r="L711" s="758"/>
      <c r="M711" s="758"/>
      <c r="N711" s="758"/>
      <c r="O711" s="758"/>
      <c r="P711" s="758"/>
      <c r="Q711" s="758"/>
      <c r="R711" s="758"/>
      <c r="S711" s="758"/>
      <c r="T711" s="758"/>
      <c r="U711" s="758"/>
      <c r="V711" s="758"/>
      <c r="W711" s="758"/>
      <c r="X711" s="758"/>
      <c r="Y711" s="411"/>
      <c r="Z711" s="422"/>
      <c r="AA711" s="422"/>
      <c r="AB711" s="422"/>
      <c r="AC711" s="422"/>
      <c r="AD711" s="422"/>
      <c r="AE711" s="422"/>
      <c r="AF711" s="422"/>
      <c r="AG711" s="422"/>
      <c r="AH711" s="422"/>
      <c r="AI711" s="422"/>
      <c r="AJ711" s="422"/>
      <c r="AK711" s="422"/>
      <c r="AL711" s="422"/>
      <c r="AM711" s="306"/>
    </row>
    <row r="712" spans="1:39" ht="30" outlineLevel="1">
      <c r="A712" s="527">
        <v>33</v>
      </c>
      <c r="B712" s="425" t="s">
        <v>125</v>
      </c>
      <c r="C712" s="786" t="s">
        <v>781</v>
      </c>
      <c r="D712" s="295">
        <f>+'7.  Persistence Report'!AX220</f>
        <v>531805</v>
      </c>
      <c r="E712" s="919">
        <f>+'7.  Persistence Report'!AY220</f>
        <v>531805</v>
      </c>
      <c r="F712" s="919">
        <f>+'7.  Persistence Report'!AZ220</f>
        <v>531805</v>
      </c>
      <c r="G712" s="919">
        <f>+'7.  Persistence Report'!BA220</f>
        <v>531805</v>
      </c>
      <c r="H712" s="919">
        <f>+'7.  Persistence Report'!BB220</f>
        <v>531805</v>
      </c>
      <c r="I712" s="919">
        <f>+'7.  Persistence Report'!BC220</f>
        <v>531805</v>
      </c>
      <c r="J712" s="919">
        <f>+'7.  Persistence Report'!BD220</f>
        <v>0</v>
      </c>
      <c r="K712" s="919">
        <f>+'7.  Persistence Report'!BE220</f>
        <v>0</v>
      </c>
      <c r="L712" s="919">
        <f>+'7.  Persistence Report'!BF220</f>
        <v>0</v>
      </c>
      <c r="M712" s="919">
        <f>+'7.  Persistence Report'!BG220</f>
        <v>0</v>
      </c>
      <c r="N712" s="919">
        <v>12</v>
      </c>
      <c r="O712" s="919">
        <v>43</v>
      </c>
      <c r="P712" s="919">
        <v>43</v>
      </c>
      <c r="Q712" s="919">
        <v>43</v>
      </c>
      <c r="R712" s="919">
        <v>43</v>
      </c>
      <c r="S712" s="295"/>
      <c r="T712" s="295"/>
      <c r="U712" s="295"/>
      <c r="V712" s="295"/>
      <c r="W712" s="295"/>
      <c r="X712" s="295"/>
      <c r="Y712" s="423"/>
      <c r="Z712" s="924">
        <f>+'3-a.  Rate Class Allocations'!P55</f>
        <v>0.76800000000000002</v>
      </c>
      <c r="AA712" s="924">
        <f>+'3-a.  Rate Class Allocations'!Q55</f>
        <v>0.221</v>
      </c>
      <c r="AB712" s="409"/>
      <c r="AC712" s="409"/>
      <c r="AD712" s="409"/>
      <c r="AE712" s="409"/>
      <c r="AF712" s="414"/>
      <c r="AG712" s="414"/>
      <c r="AH712" s="414"/>
      <c r="AI712" s="414"/>
      <c r="AJ712" s="414"/>
      <c r="AK712" s="414"/>
      <c r="AL712" s="414"/>
      <c r="AM712" s="296">
        <f>SUM(Y712:AL712)</f>
        <v>0.98899999999999999</v>
      </c>
    </row>
    <row r="713" spans="1:39" outlineLevel="1">
      <c r="A713" s="527"/>
      <c r="B713" s="294" t="s">
        <v>310</v>
      </c>
      <c r="C713" s="758"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0">
        <f>Y712</f>
        <v>0</v>
      </c>
      <c r="Z713" s="410">
        <f t="shared" ref="Z713" si="2059">Z712</f>
        <v>0.76800000000000002</v>
      </c>
      <c r="AA713" s="410">
        <f t="shared" ref="AA713" si="2060">AA712</f>
        <v>0.221</v>
      </c>
      <c r="AB713" s="410">
        <f t="shared" ref="AB713" si="2061">AB712</f>
        <v>0</v>
      </c>
      <c r="AC713" s="410">
        <f t="shared" ref="AC713" si="2062">AC712</f>
        <v>0</v>
      </c>
      <c r="AD713" s="410">
        <f t="shared" ref="AD713" si="2063">AD712</f>
        <v>0</v>
      </c>
      <c r="AE713" s="410">
        <f t="shared" ref="AE713" si="2064">AE712</f>
        <v>0</v>
      </c>
      <c r="AF713" s="410">
        <f t="shared" ref="AF713" si="2065">AF712</f>
        <v>0</v>
      </c>
      <c r="AG713" s="410">
        <f t="shared" ref="AG713" si="2066">AG712</f>
        <v>0</v>
      </c>
      <c r="AH713" s="410">
        <f t="shared" ref="AH713" si="2067">AH712</f>
        <v>0</v>
      </c>
      <c r="AI713" s="410">
        <f t="shared" ref="AI713" si="2068">AI712</f>
        <v>0</v>
      </c>
      <c r="AJ713" s="410">
        <f t="shared" ref="AJ713" si="2069">AJ712</f>
        <v>0</v>
      </c>
      <c r="AK713" s="410">
        <f t="shared" ref="AK713" si="2070">AK712</f>
        <v>0</v>
      </c>
      <c r="AL713" s="410">
        <f t="shared" ref="AL713" si="2071">AL712</f>
        <v>0</v>
      </c>
      <c r="AM713" s="306"/>
    </row>
    <row r="714" spans="1:39" outlineLevel="1">
      <c r="A714" s="527"/>
      <c r="B714" s="425"/>
      <c r="C714" s="758"/>
      <c r="D714" s="758"/>
      <c r="E714" s="758"/>
      <c r="F714" s="758"/>
      <c r="G714" s="758"/>
      <c r="H714" s="758"/>
      <c r="I714" s="758"/>
      <c r="J714" s="758"/>
      <c r="K714" s="758"/>
      <c r="L714" s="758"/>
      <c r="M714" s="758"/>
      <c r="N714" s="758"/>
      <c r="O714" s="758"/>
      <c r="P714" s="758"/>
      <c r="Q714" s="758"/>
      <c r="R714" s="758"/>
      <c r="S714" s="758"/>
      <c r="T714" s="758"/>
      <c r="U714" s="758"/>
      <c r="V714" s="758"/>
      <c r="W714" s="758"/>
      <c r="X714" s="758"/>
      <c r="Y714" s="411"/>
      <c r="Z714" s="422"/>
      <c r="AA714" s="422"/>
      <c r="AB714" s="422"/>
      <c r="AC714" s="422"/>
      <c r="AD714" s="422"/>
      <c r="AE714" s="422"/>
      <c r="AF714" s="422"/>
      <c r="AG714" s="422"/>
      <c r="AH714" s="422"/>
      <c r="AI714" s="422"/>
      <c r="AJ714" s="422"/>
      <c r="AK714" s="422"/>
      <c r="AL714" s="422"/>
      <c r="AM714" s="306"/>
    </row>
    <row r="715" spans="1:39" ht="30" outlineLevel="1">
      <c r="A715" s="527">
        <v>34</v>
      </c>
      <c r="B715" s="425" t="s">
        <v>126</v>
      </c>
      <c r="C715" s="758" t="s">
        <v>25</v>
      </c>
      <c r="D715" s="295"/>
      <c r="E715" s="295"/>
      <c r="F715" s="295"/>
      <c r="G715" s="295"/>
      <c r="H715" s="295"/>
      <c r="I715" s="295"/>
      <c r="J715" s="295"/>
      <c r="K715" s="295"/>
      <c r="L715" s="295"/>
      <c r="M715" s="295"/>
      <c r="N715" s="295">
        <v>0</v>
      </c>
      <c r="O715" s="295"/>
      <c r="P715" s="295"/>
      <c r="Q715" s="295"/>
      <c r="R715" s="295"/>
      <c r="S715" s="295"/>
      <c r="T715" s="295"/>
      <c r="U715" s="295"/>
      <c r="V715" s="295"/>
      <c r="W715" s="295"/>
      <c r="X715" s="295"/>
      <c r="Y715" s="423"/>
      <c r="Z715" s="409"/>
      <c r="AA715" s="409"/>
      <c r="AB715" s="409"/>
      <c r="AC715" s="409"/>
      <c r="AD715" s="409"/>
      <c r="AE715" s="409"/>
      <c r="AF715" s="414"/>
      <c r="AG715" s="414"/>
      <c r="AH715" s="414"/>
      <c r="AI715" s="414"/>
      <c r="AJ715" s="414"/>
      <c r="AK715" s="414"/>
      <c r="AL715" s="414"/>
      <c r="AM715" s="296">
        <f>SUM(Y715:AL715)</f>
        <v>0</v>
      </c>
    </row>
    <row r="716" spans="1:39" outlineLevel="1">
      <c r="A716" s="527"/>
      <c r="B716" s="294" t="s">
        <v>310</v>
      </c>
      <c r="C716" s="758" t="s">
        <v>163</v>
      </c>
      <c r="D716" s="295"/>
      <c r="E716" s="295"/>
      <c r="F716" s="295"/>
      <c r="G716" s="295"/>
      <c r="H716" s="295"/>
      <c r="I716" s="295"/>
      <c r="J716" s="295"/>
      <c r="K716" s="295"/>
      <c r="L716" s="295"/>
      <c r="M716" s="295"/>
      <c r="N716" s="295">
        <f>N715</f>
        <v>0</v>
      </c>
      <c r="O716" s="295"/>
      <c r="P716" s="295"/>
      <c r="Q716" s="295"/>
      <c r="R716" s="295"/>
      <c r="S716" s="295"/>
      <c r="T716" s="295"/>
      <c r="U716" s="295"/>
      <c r="V716" s="295"/>
      <c r="W716" s="295"/>
      <c r="X716" s="295"/>
      <c r="Y716" s="410">
        <f>Y715</f>
        <v>0</v>
      </c>
      <c r="Z716" s="410">
        <f t="shared" ref="Z716" si="2072">Z715</f>
        <v>0</v>
      </c>
      <c r="AA716" s="410">
        <f t="shared" ref="AA716" si="2073">AA715</f>
        <v>0</v>
      </c>
      <c r="AB716" s="410">
        <f t="shared" ref="AB716" si="2074">AB715</f>
        <v>0</v>
      </c>
      <c r="AC716" s="410">
        <f t="shared" ref="AC716" si="2075">AC715</f>
        <v>0</v>
      </c>
      <c r="AD716" s="410">
        <f t="shared" ref="AD716" si="2076">AD715</f>
        <v>0</v>
      </c>
      <c r="AE716" s="410">
        <f t="shared" ref="AE716" si="2077">AE715</f>
        <v>0</v>
      </c>
      <c r="AF716" s="410">
        <f t="shared" ref="AF716" si="2078">AF715</f>
        <v>0</v>
      </c>
      <c r="AG716" s="410">
        <f t="shared" ref="AG716" si="2079">AG715</f>
        <v>0</v>
      </c>
      <c r="AH716" s="410">
        <f t="shared" ref="AH716" si="2080">AH715</f>
        <v>0</v>
      </c>
      <c r="AI716" s="410">
        <f t="shared" ref="AI716" si="2081">AI715</f>
        <v>0</v>
      </c>
      <c r="AJ716" s="410">
        <f t="shared" ref="AJ716" si="2082">AJ715</f>
        <v>0</v>
      </c>
      <c r="AK716" s="410">
        <f t="shared" ref="AK716" si="2083">AK715</f>
        <v>0</v>
      </c>
      <c r="AL716" s="410">
        <f t="shared" ref="AL716" si="2084">AL715</f>
        <v>0</v>
      </c>
      <c r="AM716" s="306"/>
    </row>
    <row r="717" spans="1:39" outlineLevel="1">
      <c r="A717" s="527"/>
      <c r="B717" s="425"/>
      <c r="C717" s="758"/>
      <c r="D717" s="758"/>
      <c r="E717" s="758"/>
      <c r="F717" s="758"/>
      <c r="G717" s="758"/>
      <c r="H717" s="758"/>
      <c r="I717" s="758"/>
      <c r="J717" s="758"/>
      <c r="K717" s="758"/>
      <c r="L717" s="758"/>
      <c r="M717" s="758"/>
      <c r="N717" s="758"/>
      <c r="O717" s="758"/>
      <c r="P717" s="758"/>
      <c r="Q717" s="758"/>
      <c r="R717" s="758"/>
      <c r="S717" s="758"/>
      <c r="T717" s="758"/>
      <c r="U717" s="758"/>
      <c r="V717" s="758"/>
      <c r="W717" s="758"/>
      <c r="X717" s="758"/>
      <c r="Y717" s="411"/>
      <c r="Z717" s="422"/>
      <c r="AA717" s="422"/>
      <c r="AB717" s="422"/>
      <c r="AC717" s="422"/>
      <c r="AD717" s="422"/>
      <c r="AE717" s="422"/>
      <c r="AF717" s="422"/>
      <c r="AG717" s="422"/>
      <c r="AH717" s="422"/>
      <c r="AI717" s="422"/>
      <c r="AJ717" s="422"/>
      <c r="AK717" s="422"/>
      <c r="AL717" s="422"/>
      <c r="AM717" s="306"/>
    </row>
    <row r="718" spans="1:39" ht="30" outlineLevel="1">
      <c r="A718" s="527">
        <v>35</v>
      </c>
      <c r="B718" s="425" t="s">
        <v>127</v>
      </c>
      <c r="C718" s="758" t="s">
        <v>25</v>
      </c>
      <c r="D718" s="295"/>
      <c r="E718" s="295"/>
      <c r="F718" s="295"/>
      <c r="G718" s="295"/>
      <c r="H718" s="295"/>
      <c r="I718" s="295"/>
      <c r="J718" s="295"/>
      <c r="K718" s="295"/>
      <c r="L718" s="295"/>
      <c r="M718" s="295"/>
      <c r="N718" s="295">
        <v>0</v>
      </c>
      <c r="O718" s="295"/>
      <c r="P718" s="295"/>
      <c r="Q718" s="295"/>
      <c r="R718" s="295"/>
      <c r="S718" s="295"/>
      <c r="T718" s="295"/>
      <c r="U718" s="295"/>
      <c r="V718" s="295"/>
      <c r="W718" s="295"/>
      <c r="X718" s="295"/>
      <c r="Y718" s="423"/>
      <c r="Z718" s="409"/>
      <c r="AA718" s="409"/>
      <c r="AB718" s="409"/>
      <c r="AC718" s="409"/>
      <c r="AD718" s="409"/>
      <c r="AE718" s="409"/>
      <c r="AF718" s="414"/>
      <c r="AG718" s="414"/>
      <c r="AH718" s="414"/>
      <c r="AI718" s="414"/>
      <c r="AJ718" s="414"/>
      <c r="AK718" s="414"/>
      <c r="AL718" s="414"/>
      <c r="AM718" s="296">
        <f>SUM(Y718:AL718)</f>
        <v>0</v>
      </c>
    </row>
    <row r="719" spans="1:39" outlineLevel="1">
      <c r="A719" s="527"/>
      <c r="B719" s="294" t="s">
        <v>310</v>
      </c>
      <c r="C719" s="758" t="s">
        <v>163</v>
      </c>
      <c r="D719" s="295"/>
      <c r="E719" s="295"/>
      <c r="F719" s="295"/>
      <c r="G719" s="295"/>
      <c r="H719" s="295"/>
      <c r="I719" s="295"/>
      <c r="J719" s="295"/>
      <c r="K719" s="295"/>
      <c r="L719" s="295"/>
      <c r="M719" s="295"/>
      <c r="N719" s="295">
        <f>N718</f>
        <v>0</v>
      </c>
      <c r="O719" s="295"/>
      <c r="P719" s="295"/>
      <c r="Q719" s="295"/>
      <c r="R719" s="295"/>
      <c r="S719" s="295"/>
      <c r="T719" s="295"/>
      <c r="U719" s="295"/>
      <c r="V719" s="295"/>
      <c r="W719" s="295"/>
      <c r="X719" s="295"/>
      <c r="Y719" s="410">
        <f>Y718</f>
        <v>0</v>
      </c>
      <c r="Z719" s="410">
        <f t="shared" ref="Z719" si="2085">Z718</f>
        <v>0</v>
      </c>
      <c r="AA719" s="410">
        <f t="shared" ref="AA719" si="2086">AA718</f>
        <v>0</v>
      </c>
      <c r="AB719" s="410">
        <f t="shared" ref="AB719" si="2087">AB718</f>
        <v>0</v>
      </c>
      <c r="AC719" s="410">
        <f t="shared" ref="AC719" si="2088">AC718</f>
        <v>0</v>
      </c>
      <c r="AD719" s="410">
        <f t="shared" ref="AD719" si="2089">AD718</f>
        <v>0</v>
      </c>
      <c r="AE719" s="410">
        <f t="shared" ref="AE719" si="2090">AE718</f>
        <v>0</v>
      </c>
      <c r="AF719" s="410">
        <f t="shared" ref="AF719" si="2091">AF718</f>
        <v>0</v>
      </c>
      <c r="AG719" s="410">
        <f t="shared" ref="AG719" si="2092">AG718</f>
        <v>0</v>
      </c>
      <c r="AH719" s="410">
        <f t="shared" ref="AH719" si="2093">AH718</f>
        <v>0</v>
      </c>
      <c r="AI719" s="410">
        <f t="shared" ref="AI719" si="2094">AI718</f>
        <v>0</v>
      </c>
      <c r="AJ719" s="410">
        <f t="shared" ref="AJ719" si="2095">AJ718</f>
        <v>0</v>
      </c>
      <c r="AK719" s="410">
        <f t="shared" ref="AK719" si="2096">AK718</f>
        <v>0</v>
      </c>
      <c r="AL719" s="410">
        <f t="shared" ref="AL719" si="2097">AL718</f>
        <v>0</v>
      </c>
      <c r="AM719" s="306"/>
    </row>
    <row r="720" spans="1:39" outlineLevel="1">
      <c r="A720" s="527"/>
      <c r="B720" s="428"/>
      <c r="C720" s="758"/>
      <c r="D720" s="758"/>
      <c r="E720" s="758"/>
      <c r="F720" s="758"/>
      <c r="G720" s="758"/>
      <c r="H720" s="758"/>
      <c r="I720" s="758"/>
      <c r="J720" s="758"/>
      <c r="K720" s="758"/>
      <c r="L720" s="758"/>
      <c r="M720" s="758"/>
      <c r="N720" s="758"/>
      <c r="O720" s="758"/>
      <c r="P720" s="758"/>
      <c r="Q720" s="758"/>
      <c r="R720" s="758"/>
      <c r="S720" s="758"/>
      <c r="T720" s="758"/>
      <c r="U720" s="758"/>
      <c r="V720" s="758"/>
      <c r="W720" s="758"/>
      <c r="X720" s="758"/>
      <c r="Y720" s="411"/>
      <c r="Z720" s="422"/>
      <c r="AA720" s="422"/>
      <c r="AB720" s="422"/>
      <c r="AC720" s="422"/>
      <c r="AD720" s="422"/>
      <c r="AE720" s="422"/>
      <c r="AF720" s="422"/>
      <c r="AG720" s="422"/>
      <c r="AH720" s="422"/>
      <c r="AI720" s="422"/>
      <c r="AJ720" s="422"/>
      <c r="AK720" s="422"/>
      <c r="AL720" s="422"/>
      <c r="AM720" s="306"/>
    </row>
    <row r="721" spans="1:39" ht="15.75" outlineLevel="1">
      <c r="A721" s="527"/>
      <c r="B721" s="288" t="s">
        <v>502</v>
      </c>
      <c r="C721" s="758"/>
      <c r="D721" s="758"/>
      <c r="E721" s="758"/>
      <c r="F721" s="758"/>
      <c r="G721" s="758"/>
      <c r="H721" s="758"/>
      <c r="I721" s="758"/>
      <c r="J721" s="758"/>
      <c r="K721" s="758"/>
      <c r="L721" s="758"/>
      <c r="M721" s="758"/>
      <c r="N721" s="758"/>
      <c r="O721" s="758"/>
      <c r="P721" s="758"/>
      <c r="Q721" s="758"/>
      <c r="R721" s="758"/>
      <c r="S721" s="758"/>
      <c r="T721" s="758"/>
      <c r="U721" s="758"/>
      <c r="V721" s="758"/>
      <c r="W721" s="758"/>
      <c r="X721" s="758"/>
      <c r="Y721" s="411"/>
      <c r="Z721" s="422"/>
      <c r="AA721" s="422"/>
      <c r="AB721" s="422"/>
      <c r="AC721" s="422"/>
      <c r="AD721" s="422"/>
      <c r="AE721" s="422"/>
      <c r="AF721" s="422"/>
      <c r="AG721" s="422"/>
      <c r="AH721" s="422"/>
      <c r="AI721" s="422"/>
      <c r="AJ721" s="422"/>
      <c r="AK721" s="422"/>
      <c r="AL721" s="422"/>
      <c r="AM721" s="306"/>
    </row>
    <row r="722" spans="1:39" ht="75" outlineLevel="1">
      <c r="A722" s="527">
        <v>36</v>
      </c>
      <c r="B722" s="425" t="s">
        <v>128</v>
      </c>
      <c r="C722" s="758"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3"/>
      <c r="Z722" s="409"/>
      <c r="AA722" s="409"/>
      <c r="AB722" s="409"/>
      <c r="AC722" s="409"/>
      <c r="AD722" s="409"/>
      <c r="AE722" s="409"/>
      <c r="AF722" s="414"/>
      <c r="AG722" s="414"/>
      <c r="AH722" s="414"/>
      <c r="AI722" s="414"/>
      <c r="AJ722" s="414"/>
      <c r="AK722" s="414"/>
      <c r="AL722" s="414"/>
      <c r="AM722" s="296">
        <f>SUM(Y722:AL722)</f>
        <v>0</v>
      </c>
    </row>
    <row r="723" spans="1:39" outlineLevel="1">
      <c r="A723" s="527"/>
      <c r="B723" s="294" t="s">
        <v>310</v>
      </c>
      <c r="C723" s="758"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0">
        <f>Y722</f>
        <v>0</v>
      </c>
      <c r="Z723" s="410">
        <f t="shared" ref="Z723" si="2098">Z722</f>
        <v>0</v>
      </c>
      <c r="AA723" s="410">
        <f t="shared" ref="AA723" si="2099">AA722</f>
        <v>0</v>
      </c>
      <c r="AB723" s="410">
        <f t="shared" ref="AB723" si="2100">AB722</f>
        <v>0</v>
      </c>
      <c r="AC723" s="410">
        <f t="shared" ref="AC723" si="2101">AC722</f>
        <v>0</v>
      </c>
      <c r="AD723" s="410">
        <f t="shared" ref="AD723" si="2102">AD722</f>
        <v>0</v>
      </c>
      <c r="AE723" s="410">
        <f t="shared" ref="AE723" si="2103">AE722</f>
        <v>0</v>
      </c>
      <c r="AF723" s="410">
        <f t="shared" ref="AF723" si="2104">AF722</f>
        <v>0</v>
      </c>
      <c r="AG723" s="410">
        <f t="shared" ref="AG723" si="2105">AG722</f>
        <v>0</v>
      </c>
      <c r="AH723" s="410">
        <f t="shared" ref="AH723" si="2106">AH722</f>
        <v>0</v>
      </c>
      <c r="AI723" s="410">
        <f t="shared" ref="AI723" si="2107">AI722</f>
        <v>0</v>
      </c>
      <c r="AJ723" s="410">
        <f t="shared" ref="AJ723" si="2108">AJ722</f>
        <v>0</v>
      </c>
      <c r="AK723" s="410">
        <f t="shared" ref="AK723" si="2109">AK722</f>
        <v>0</v>
      </c>
      <c r="AL723" s="410">
        <f t="shared" ref="AL723" si="2110">AL722</f>
        <v>0</v>
      </c>
      <c r="AM723" s="306"/>
    </row>
    <row r="724" spans="1:39" outlineLevel="1">
      <c r="A724" s="527"/>
      <c r="B724" s="425"/>
      <c r="C724" s="758"/>
      <c r="D724" s="758"/>
      <c r="E724" s="758"/>
      <c r="F724" s="758"/>
      <c r="G724" s="758"/>
      <c r="H724" s="758"/>
      <c r="I724" s="758"/>
      <c r="J724" s="758"/>
      <c r="K724" s="758"/>
      <c r="L724" s="758"/>
      <c r="M724" s="758"/>
      <c r="N724" s="758"/>
      <c r="O724" s="758"/>
      <c r="P724" s="758"/>
      <c r="Q724" s="758"/>
      <c r="R724" s="758"/>
      <c r="S724" s="758"/>
      <c r="T724" s="758"/>
      <c r="U724" s="758"/>
      <c r="V724" s="758"/>
      <c r="W724" s="758"/>
      <c r="X724" s="758"/>
      <c r="Y724" s="411"/>
      <c r="Z724" s="422"/>
      <c r="AA724" s="422"/>
      <c r="AB724" s="422"/>
      <c r="AC724" s="422"/>
      <c r="AD724" s="422"/>
      <c r="AE724" s="422"/>
      <c r="AF724" s="422"/>
      <c r="AG724" s="422"/>
      <c r="AH724" s="422"/>
      <c r="AI724" s="422"/>
      <c r="AJ724" s="422"/>
      <c r="AK724" s="422"/>
      <c r="AL724" s="422"/>
      <c r="AM724" s="306"/>
    </row>
    <row r="725" spans="1:39" ht="30" outlineLevel="1">
      <c r="A725" s="527">
        <v>37</v>
      </c>
      <c r="B725" s="425" t="s">
        <v>129</v>
      </c>
      <c r="C725" s="758" t="s">
        <v>25</v>
      </c>
      <c r="D725" s="295"/>
      <c r="E725" s="295"/>
      <c r="F725" s="295"/>
      <c r="G725" s="295"/>
      <c r="H725" s="295"/>
      <c r="I725" s="295"/>
      <c r="J725" s="295"/>
      <c r="K725" s="295"/>
      <c r="L725" s="295"/>
      <c r="M725" s="295"/>
      <c r="N725" s="295">
        <v>12</v>
      </c>
      <c r="O725" s="295"/>
      <c r="P725" s="295"/>
      <c r="Q725" s="295"/>
      <c r="R725" s="295"/>
      <c r="S725" s="295"/>
      <c r="T725" s="295"/>
      <c r="U725" s="295"/>
      <c r="V725" s="295"/>
      <c r="W725" s="295"/>
      <c r="X725" s="295"/>
      <c r="Y725" s="423"/>
      <c r="Z725" s="409"/>
      <c r="AA725" s="409"/>
      <c r="AB725" s="409"/>
      <c r="AC725" s="409"/>
      <c r="AD725" s="409"/>
      <c r="AE725" s="409"/>
      <c r="AF725" s="414"/>
      <c r="AG725" s="414"/>
      <c r="AH725" s="414"/>
      <c r="AI725" s="414"/>
      <c r="AJ725" s="414"/>
      <c r="AK725" s="414"/>
      <c r="AL725" s="414"/>
      <c r="AM725" s="296">
        <f>SUM(Y725:AL725)</f>
        <v>0</v>
      </c>
    </row>
    <row r="726" spans="1:39" outlineLevel="1">
      <c r="A726" s="527"/>
      <c r="B726" s="294" t="s">
        <v>310</v>
      </c>
      <c r="C726" s="758" t="s">
        <v>163</v>
      </c>
      <c r="D726" s="295"/>
      <c r="E726" s="295"/>
      <c r="F726" s="295"/>
      <c r="G726" s="295"/>
      <c r="H726" s="295"/>
      <c r="I726" s="295"/>
      <c r="J726" s="295"/>
      <c r="K726" s="295"/>
      <c r="L726" s="295"/>
      <c r="M726" s="295"/>
      <c r="N726" s="295">
        <f>N725</f>
        <v>12</v>
      </c>
      <c r="O726" s="295"/>
      <c r="P726" s="295"/>
      <c r="Q726" s="295"/>
      <c r="R726" s="295"/>
      <c r="S726" s="295"/>
      <c r="T726" s="295"/>
      <c r="U726" s="295"/>
      <c r="V726" s="295"/>
      <c r="W726" s="295"/>
      <c r="X726" s="295"/>
      <c r="Y726" s="410">
        <f>Y725</f>
        <v>0</v>
      </c>
      <c r="Z726" s="410">
        <f t="shared" ref="Z726" si="2111">Z725</f>
        <v>0</v>
      </c>
      <c r="AA726" s="410">
        <f t="shared" ref="AA726" si="2112">AA725</f>
        <v>0</v>
      </c>
      <c r="AB726" s="410">
        <f t="shared" ref="AB726" si="2113">AB725</f>
        <v>0</v>
      </c>
      <c r="AC726" s="410">
        <f t="shared" ref="AC726" si="2114">AC725</f>
        <v>0</v>
      </c>
      <c r="AD726" s="410">
        <f t="shared" ref="AD726" si="2115">AD725</f>
        <v>0</v>
      </c>
      <c r="AE726" s="410">
        <f t="shared" ref="AE726" si="2116">AE725</f>
        <v>0</v>
      </c>
      <c r="AF726" s="410">
        <f t="shared" ref="AF726" si="2117">AF725</f>
        <v>0</v>
      </c>
      <c r="AG726" s="410">
        <f t="shared" ref="AG726" si="2118">AG725</f>
        <v>0</v>
      </c>
      <c r="AH726" s="410">
        <f t="shared" ref="AH726" si="2119">AH725</f>
        <v>0</v>
      </c>
      <c r="AI726" s="410">
        <f t="shared" ref="AI726" si="2120">AI725</f>
        <v>0</v>
      </c>
      <c r="AJ726" s="410">
        <f t="shared" ref="AJ726" si="2121">AJ725</f>
        <v>0</v>
      </c>
      <c r="AK726" s="410">
        <f t="shared" ref="AK726" si="2122">AK725</f>
        <v>0</v>
      </c>
      <c r="AL726" s="410">
        <f t="shared" ref="AL726" si="2123">AL725</f>
        <v>0</v>
      </c>
      <c r="AM726" s="306"/>
    </row>
    <row r="727" spans="1:39" outlineLevel="1">
      <c r="A727" s="527"/>
      <c r="B727" s="425"/>
      <c r="C727" s="758"/>
      <c r="D727" s="758"/>
      <c r="E727" s="758"/>
      <c r="F727" s="758"/>
      <c r="G727" s="758"/>
      <c r="H727" s="758"/>
      <c r="I727" s="758"/>
      <c r="J727" s="758"/>
      <c r="K727" s="758"/>
      <c r="L727" s="758"/>
      <c r="M727" s="758"/>
      <c r="N727" s="758"/>
      <c r="O727" s="758"/>
      <c r="P727" s="758"/>
      <c r="Q727" s="758"/>
      <c r="R727" s="758"/>
      <c r="S727" s="758"/>
      <c r="T727" s="758"/>
      <c r="U727" s="758"/>
      <c r="V727" s="758"/>
      <c r="W727" s="758"/>
      <c r="X727" s="758"/>
      <c r="Y727" s="411"/>
      <c r="Z727" s="422"/>
      <c r="AA727" s="422"/>
      <c r="AB727" s="422"/>
      <c r="AC727" s="422"/>
      <c r="AD727" s="422"/>
      <c r="AE727" s="422"/>
      <c r="AF727" s="422"/>
      <c r="AG727" s="422"/>
      <c r="AH727" s="422"/>
      <c r="AI727" s="422"/>
      <c r="AJ727" s="422"/>
      <c r="AK727" s="422"/>
      <c r="AL727" s="422"/>
      <c r="AM727" s="306"/>
    </row>
    <row r="728" spans="1:39" ht="30" outlineLevel="1">
      <c r="A728" s="527">
        <v>38</v>
      </c>
      <c r="B728" s="425" t="s">
        <v>130</v>
      </c>
      <c r="C728" s="758"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3"/>
      <c r="Z728" s="409"/>
      <c r="AA728" s="409"/>
      <c r="AB728" s="409"/>
      <c r="AC728" s="409"/>
      <c r="AD728" s="409"/>
      <c r="AE728" s="409"/>
      <c r="AF728" s="414"/>
      <c r="AG728" s="414"/>
      <c r="AH728" s="414"/>
      <c r="AI728" s="414"/>
      <c r="AJ728" s="414"/>
      <c r="AK728" s="414"/>
      <c r="AL728" s="414"/>
      <c r="AM728" s="296">
        <f>SUM(Y728:AL728)</f>
        <v>0</v>
      </c>
    </row>
    <row r="729" spans="1:39" outlineLevel="1">
      <c r="A729" s="527"/>
      <c r="B729" s="294" t="s">
        <v>310</v>
      </c>
      <c r="C729" s="758"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0">
        <f>Y728</f>
        <v>0</v>
      </c>
      <c r="Z729" s="410">
        <f t="shared" ref="Z729" si="2124">Z728</f>
        <v>0</v>
      </c>
      <c r="AA729" s="410">
        <f t="shared" ref="AA729" si="2125">AA728</f>
        <v>0</v>
      </c>
      <c r="AB729" s="410">
        <f t="shared" ref="AB729" si="2126">AB728</f>
        <v>0</v>
      </c>
      <c r="AC729" s="410">
        <f t="shared" ref="AC729" si="2127">AC728</f>
        <v>0</v>
      </c>
      <c r="AD729" s="410">
        <f t="shared" ref="AD729" si="2128">AD728</f>
        <v>0</v>
      </c>
      <c r="AE729" s="410">
        <f t="shared" ref="AE729" si="2129">AE728</f>
        <v>0</v>
      </c>
      <c r="AF729" s="410">
        <f t="shared" ref="AF729" si="2130">AF728</f>
        <v>0</v>
      </c>
      <c r="AG729" s="410">
        <f t="shared" ref="AG729" si="2131">AG728</f>
        <v>0</v>
      </c>
      <c r="AH729" s="410">
        <f t="shared" ref="AH729" si="2132">AH728</f>
        <v>0</v>
      </c>
      <c r="AI729" s="410">
        <f t="shared" ref="AI729" si="2133">AI728</f>
        <v>0</v>
      </c>
      <c r="AJ729" s="410">
        <f t="shared" ref="AJ729" si="2134">AJ728</f>
        <v>0</v>
      </c>
      <c r="AK729" s="410">
        <f t="shared" ref="AK729" si="2135">AK728</f>
        <v>0</v>
      </c>
      <c r="AL729" s="410">
        <f t="shared" ref="AL729" si="2136">AL728</f>
        <v>0</v>
      </c>
      <c r="AM729" s="306"/>
    </row>
    <row r="730" spans="1:39" outlineLevel="1">
      <c r="A730" s="527"/>
      <c r="B730" s="425"/>
      <c r="C730" s="758"/>
      <c r="D730" s="758"/>
      <c r="E730" s="758"/>
      <c r="F730" s="758"/>
      <c r="G730" s="758"/>
      <c r="H730" s="758"/>
      <c r="I730" s="758"/>
      <c r="J730" s="758"/>
      <c r="K730" s="758"/>
      <c r="L730" s="758"/>
      <c r="M730" s="758"/>
      <c r="N730" s="758"/>
      <c r="O730" s="758"/>
      <c r="P730" s="758"/>
      <c r="Q730" s="758"/>
      <c r="R730" s="758"/>
      <c r="S730" s="758"/>
      <c r="T730" s="758"/>
      <c r="U730" s="758"/>
      <c r="V730" s="758"/>
      <c r="W730" s="758"/>
      <c r="X730" s="758"/>
      <c r="Y730" s="411"/>
      <c r="Z730" s="422"/>
      <c r="AA730" s="422"/>
      <c r="AB730" s="422"/>
      <c r="AC730" s="422"/>
      <c r="AD730" s="422"/>
      <c r="AE730" s="422"/>
      <c r="AF730" s="422"/>
      <c r="AG730" s="422"/>
      <c r="AH730" s="422"/>
      <c r="AI730" s="422"/>
      <c r="AJ730" s="422"/>
      <c r="AK730" s="422"/>
      <c r="AL730" s="422"/>
      <c r="AM730" s="306"/>
    </row>
    <row r="731" spans="1:39" ht="30" outlineLevel="1">
      <c r="A731" s="527">
        <v>39</v>
      </c>
      <c r="B731" s="425" t="s">
        <v>131</v>
      </c>
      <c r="C731" s="758"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3"/>
      <c r="Z731" s="409"/>
      <c r="AA731" s="409"/>
      <c r="AB731" s="409"/>
      <c r="AC731" s="409"/>
      <c r="AD731" s="409"/>
      <c r="AE731" s="409"/>
      <c r="AF731" s="414"/>
      <c r="AG731" s="414"/>
      <c r="AH731" s="414"/>
      <c r="AI731" s="414"/>
      <c r="AJ731" s="414"/>
      <c r="AK731" s="414"/>
      <c r="AL731" s="414"/>
      <c r="AM731" s="296">
        <f>SUM(Y731:AL731)</f>
        <v>0</v>
      </c>
    </row>
    <row r="732" spans="1:39" outlineLevel="1">
      <c r="A732" s="527"/>
      <c r="B732" s="294" t="s">
        <v>310</v>
      </c>
      <c r="C732" s="758"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0">
        <f>Y731</f>
        <v>0</v>
      </c>
      <c r="Z732" s="410">
        <f t="shared" ref="Z732" si="2137">Z731</f>
        <v>0</v>
      </c>
      <c r="AA732" s="410">
        <f t="shared" ref="AA732" si="2138">AA731</f>
        <v>0</v>
      </c>
      <c r="AB732" s="410">
        <f t="shared" ref="AB732" si="2139">AB731</f>
        <v>0</v>
      </c>
      <c r="AC732" s="410">
        <f t="shared" ref="AC732" si="2140">AC731</f>
        <v>0</v>
      </c>
      <c r="AD732" s="410">
        <f t="shared" ref="AD732" si="2141">AD731</f>
        <v>0</v>
      </c>
      <c r="AE732" s="410">
        <f t="shared" ref="AE732" si="2142">AE731</f>
        <v>0</v>
      </c>
      <c r="AF732" s="410">
        <f t="shared" ref="AF732" si="2143">AF731</f>
        <v>0</v>
      </c>
      <c r="AG732" s="410">
        <f t="shared" ref="AG732" si="2144">AG731</f>
        <v>0</v>
      </c>
      <c r="AH732" s="410">
        <f t="shared" ref="AH732" si="2145">AH731</f>
        <v>0</v>
      </c>
      <c r="AI732" s="410">
        <f t="shared" ref="AI732" si="2146">AI731</f>
        <v>0</v>
      </c>
      <c r="AJ732" s="410">
        <f t="shared" ref="AJ732" si="2147">AJ731</f>
        <v>0</v>
      </c>
      <c r="AK732" s="410">
        <f t="shared" ref="AK732" si="2148">AK731</f>
        <v>0</v>
      </c>
      <c r="AL732" s="410">
        <f t="shared" ref="AL732" si="2149">AL731</f>
        <v>0</v>
      </c>
      <c r="AM732" s="306"/>
    </row>
    <row r="733" spans="1:39" outlineLevel="1">
      <c r="A733" s="527"/>
      <c r="B733" s="425"/>
      <c r="C733" s="758"/>
      <c r="D733" s="758"/>
      <c r="E733" s="758"/>
      <c r="F733" s="758"/>
      <c r="G733" s="758"/>
      <c r="H733" s="758"/>
      <c r="I733" s="758"/>
      <c r="J733" s="758"/>
      <c r="K733" s="758"/>
      <c r="L733" s="758"/>
      <c r="M733" s="758"/>
      <c r="N733" s="758"/>
      <c r="O733" s="758"/>
      <c r="P733" s="758"/>
      <c r="Q733" s="758"/>
      <c r="R733" s="758"/>
      <c r="S733" s="758"/>
      <c r="T733" s="758"/>
      <c r="U733" s="758"/>
      <c r="V733" s="758"/>
      <c r="W733" s="758"/>
      <c r="X733" s="758"/>
      <c r="Y733" s="411"/>
      <c r="Z733" s="422"/>
      <c r="AA733" s="422"/>
      <c r="AB733" s="422"/>
      <c r="AC733" s="422"/>
      <c r="AD733" s="422"/>
      <c r="AE733" s="422"/>
      <c r="AF733" s="422"/>
      <c r="AG733" s="422"/>
      <c r="AH733" s="422"/>
      <c r="AI733" s="422"/>
      <c r="AJ733" s="422"/>
      <c r="AK733" s="422"/>
      <c r="AL733" s="422"/>
      <c r="AM733" s="306"/>
    </row>
    <row r="734" spans="1:39" ht="30" outlineLevel="1">
      <c r="A734" s="527">
        <v>40</v>
      </c>
      <c r="B734" s="425" t="s">
        <v>132</v>
      </c>
      <c r="C734" s="758"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3"/>
      <c r="Z734" s="409"/>
      <c r="AA734" s="409"/>
      <c r="AB734" s="409"/>
      <c r="AC734" s="409"/>
      <c r="AD734" s="409"/>
      <c r="AE734" s="409"/>
      <c r="AF734" s="414"/>
      <c r="AG734" s="414"/>
      <c r="AH734" s="414"/>
      <c r="AI734" s="414"/>
      <c r="AJ734" s="414"/>
      <c r="AK734" s="414"/>
      <c r="AL734" s="414"/>
      <c r="AM734" s="296">
        <f>SUM(Y734:AL734)</f>
        <v>0</v>
      </c>
    </row>
    <row r="735" spans="1:39" outlineLevel="1">
      <c r="A735" s="527"/>
      <c r="B735" s="294" t="s">
        <v>310</v>
      </c>
      <c r="C735" s="758"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0">
        <f>Y734</f>
        <v>0</v>
      </c>
      <c r="Z735" s="410">
        <f t="shared" ref="Z735" si="2150">Z734</f>
        <v>0</v>
      </c>
      <c r="AA735" s="410">
        <f t="shared" ref="AA735" si="2151">AA734</f>
        <v>0</v>
      </c>
      <c r="AB735" s="410">
        <f t="shared" ref="AB735" si="2152">AB734</f>
        <v>0</v>
      </c>
      <c r="AC735" s="410">
        <f t="shared" ref="AC735" si="2153">AC734</f>
        <v>0</v>
      </c>
      <c r="AD735" s="410">
        <f t="shared" ref="AD735" si="2154">AD734</f>
        <v>0</v>
      </c>
      <c r="AE735" s="410">
        <f t="shared" ref="AE735" si="2155">AE734</f>
        <v>0</v>
      </c>
      <c r="AF735" s="410">
        <f t="shared" ref="AF735" si="2156">AF734</f>
        <v>0</v>
      </c>
      <c r="AG735" s="410">
        <f t="shared" ref="AG735" si="2157">AG734</f>
        <v>0</v>
      </c>
      <c r="AH735" s="410">
        <f t="shared" ref="AH735" si="2158">AH734</f>
        <v>0</v>
      </c>
      <c r="AI735" s="410">
        <f t="shared" ref="AI735" si="2159">AI734</f>
        <v>0</v>
      </c>
      <c r="AJ735" s="410">
        <f t="shared" ref="AJ735" si="2160">AJ734</f>
        <v>0</v>
      </c>
      <c r="AK735" s="410">
        <f t="shared" ref="AK735" si="2161">AK734</f>
        <v>0</v>
      </c>
      <c r="AL735" s="410">
        <f t="shared" ref="AL735" si="2162">AL734</f>
        <v>0</v>
      </c>
      <c r="AM735" s="306"/>
    </row>
    <row r="736" spans="1:39" outlineLevel="1">
      <c r="A736" s="527"/>
      <c r="B736" s="425"/>
      <c r="C736" s="758"/>
      <c r="D736" s="758"/>
      <c r="E736" s="758"/>
      <c r="F736" s="758"/>
      <c r="G736" s="758"/>
      <c r="H736" s="758"/>
      <c r="I736" s="758"/>
      <c r="J736" s="758"/>
      <c r="K736" s="758"/>
      <c r="L736" s="758"/>
      <c r="M736" s="758"/>
      <c r="N736" s="758"/>
      <c r="O736" s="758"/>
      <c r="P736" s="758"/>
      <c r="Q736" s="758"/>
      <c r="R736" s="758"/>
      <c r="S736" s="758"/>
      <c r="T736" s="758"/>
      <c r="U736" s="758"/>
      <c r="V736" s="758"/>
      <c r="W736" s="758"/>
      <c r="X736" s="758"/>
      <c r="Y736" s="411"/>
      <c r="Z736" s="422"/>
      <c r="AA736" s="422"/>
      <c r="AB736" s="422"/>
      <c r="AC736" s="422"/>
      <c r="AD736" s="422"/>
      <c r="AE736" s="422"/>
      <c r="AF736" s="422"/>
      <c r="AG736" s="422"/>
      <c r="AH736" s="422"/>
      <c r="AI736" s="422"/>
      <c r="AJ736" s="422"/>
      <c r="AK736" s="422"/>
      <c r="AL736" s="422"/>
      <c r="AM736" s="306"/>
    </row>
    <row r="737" spans="1:39" ht="60" outlineLevel="1">
      <c r="A737" s="527">
        <v>41</v>
      </c>
      <c r="B737" s="425" t="s">
        <v>133</v>
      </c>
      <c r="C737" s="758"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3"/>
      <c r="Z737" s="409"/>
      <c r="AA737" s="409"/>
      <c r="AB737" s="409"/>
      <c r="AC737" s="409"/>
      <c r="AD737" s="409"/>
      <c r="AE737" s="409"/>
      <c r="AF737" s="414"/>
      <c r="AG737" s="414"/>
      <c r="AH737" s="414"/>
      <c r="AI737" s="414"/>
      <c r="AJ737" s="414"/>
      <c r="AK737" s="414"/>
      <c r="AL737" s="414"/>
      <c r="AM737" s="296">
        <f>SUM(Y737:AL737)</f>
        <v>0</v>
      </c>
    </row>
    <row r="738" spans="1:39" outlineLevel="1">
      <c r="A738" s="527"/>
      <c r="B738" s="294" t="s">
        <v>310</v>
      </c>
      <c r="C738" s="758"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0">
        <f>Y737</f>
        <v>0</v>
      </c>
      <c r="Z738" s="410">
        <f t="shared" ref="Z738" si="2163">Z737</f>
        <v>0</v>
      </c>
      <c r="AA738" s="410">
        <f t="shared" ref="AA738" si="2164">AA737</f>
        <v>0</v>
      </c>
      <c r="AB738" s="410">
        <f t="shared" ref="AB738" si="2165">AB737</f>
        <v>0</v>
      </c>
      <c r="AC738" s="410">
        <f t="shared" ref="AC738" si="2166">AC737</f>
        <v>0</v>
      </c>
      <c r="AD738" s="410">
        <f t="shared" ref="AD738" si="2167">AD737</f>
        <v>0</v>
      </c>
      <c r="AE738" s="410">
        <f t="shared" ref="AE738" si="2168">AE737</f>
        <v>0</v>
      </c>
      <c r="AF738" s="410">
        <f t="shared" ref="AF738" si="2169">AF737</f>
        <v>0</v>
      </c>
      <c r="AG738" s="410">
        <f t="shared" ref="AG738" si="2170">AG737</f>
        <v>0</v>
      </c>
      <c r="AH738" s="410">
        <f t="shared" ref="AH738" si="2171">AH737</f>
        <v>0</v>
      </c>
      <c r="AI738" s="410">
        <f t="shared" ref="AI738" si="2172">AI737</f>
        <v>0</v>
      </c>
      <c r="AJ738" s="410">
        <f t="shared" ref="AJ738" si="2173">AJ737</f>
        <v>0</v>
      </c>
      <c r="AK738" s="410">
        <f t="shared" ref="AK738" si="2174">AK737</f>
        <v>0</v>
      </c>
      <c r="AL738" s="410">
        <f t="shared" ref="AL738" si="2175">AL737</f>
        <v>0</v>
      </c>
      <c r="AM738" s="306"/>
    </row>
    <row r="739" spans="1:39" outlineLevel="1">
      <c r="A739" s="527"/>
      <c r="B739" s="425"/>
      <c r="C739" s="758"/>
      <c r="D739" s="758"/>
      <c r="E739" s="758"/>
      <c r="F739" s="758"/>
      <c r="G739" s="758"/>
      <c r="H739" s="758"/>
      <c r="I739" s="758"/>
      <c r="J739" s="758"/>
      <c r="K739" s="758"/>
      <c r="L739" s="758"/>
      <c r="M739" s="758"/>
      <c r="N739" s="758"/>
      <c r="O739" s="758"/>
      <c r="P739" s="758"/>
      <c r="Q739" s="758"/>
      <c r="R739" s="758"/>
      <c r="S739" s="758"/>
      <c r="T739" s="758"/>
      <c r="U739" s="758"/>
      <c r="V739" s="758"/>
      <c r="W739" s="758"/>
      <c r="X739" s="758"/>
      <c r="Y739" s="411"/>
      <c r="Z739" s="422"/>
      <c r="AA739" s="422"/>
      <c r="AB739" s="422"/>
      <c r="AC739" s="422"/>
      <c r="AD739" s="422"/>
      <c r="AE739" s="422"/>
      <c r="AF739" s="422"/>
      <c r="AG739" s="422"/>
      <c r="AH739" s="422"/>
      <c r="AI739" s="422"/>
      <c r="AJ739" s="422"/>
      <c r="AK739" s="422"/>
      <c r="AL739" s="422"/>
      <c r="AM739" s="306"/>
    </row>
    <row r="740" spans="1:39" ht="60" outlineLevel="1">
      <c r="A740" s="527">
        <v>42</v>
      </c>
      <c r="B740" s="425" t="s">
        <v>134</v>
      </c>
      <c r="C740" s="758" t="s">
        <v>25</v>
      </c>
      <c r="D740" s="295"/>
      <c r="E740" s="295"/>
      <c r="F740" s="295"/>
      <c r="G740" s="295"/>
      <c r="H740" s="295"/>
      <c r="I740" s="295"/>
      <c r="J740" s="295"/>
      <c r="K740" s="295"/>
      <c r="L740" s="295"/>
      <c r="M740" s="295"/>
      <c r="N740" s="758"/>
      <c r="O740" s="295"/>
      <c r="P740" s="295"/>
      <c r="Q740" s="295"/>
      <c r="R740" s="295"/>
      <c r="S740" s="295"/>
      <c r="T740" s="295"/>
      <c r="U740" s="295"/>
      <c r="V740" s="295"/>
      <c r="W740" s="295"/>
      <c r="X740" s="295"/>
      <c r="Y740" s="423"/>
      <c r="Z740" s="409"/>
      <c r="AA740" s="409"/>
      <c r="AB740" s="409"/>
      <c r="AC740" s="409"/>
      <c r="AD740" s="409"/>
      <c r="AE740" s="409"/>
      <c r="AF740" s="414"/>
      <c r="AG740" s="414"/>
      <c r="AH740" s="414"/>
      <c r="AI740" s="414"/>
      <c r="AJ740" s="414"/>
      <c r="AK740" s="414"/>
      <c r="AL740" s="414"/>
      <c r="AM740" s="296">
        <f>SUM(Y740:AL740)</f>
        <v>0</v>
      </c>
    </row>
    <row r="741" spans="1:39" outlineLevel="1">
      <c r="A741" s="527"/>
      <c r="B741" s="294" t="s">
        <v>310</v>
      </c>
      <c r="C741" s="758" t="s">
        <v>163</v>
      </c>
      <c r="D741" s="295"/>
      <c r="E741" s="295"/>
      <c r="F741" s="295"/>
      <c r="G741" s="295"/>
      <c r="H741" s="295"/>
      <c r="I741" s="295"/>
      <c r="J741" s="295"/>
      <c r="K741" s="295"/>
      <c r="L741" s="295"/>
      <c r="M741" s="295"/>
      <c r="N741" s="759"/>
      <c r="O741" s="295"/>
      <c r="P741" s="295"/>
      <c r="Q741" s="295"/>
      <c r="R741" s="295"/>
      <c r="S741" s="295"/>
      <c r="T741" s="295"/>
      <c r="U741" s="295"/>
      <c r="V741" s="295"/>
      <c r="W741" s="295"/>
      <c r="X741" s="295"/>
      <c r="Y741" s="410">
        <f>Y740</f>
        <v>0</v>
      </c>
      <c r="Z741" s="410">
        <f t="shared" ref="Z741" si="2176">Z740</f>
        <v>0</v>
      </c>
      <c r="AA741" s="410">
        <f t="shared" ref="AA741" si="2177">AA740</f>
        <v>0</v>
      </c>
      <c r="AB741" s="410">
        <f t="shared" ref="AB741" si="2178">AB740</f>
        <v>0</v>
      </c>
      <c r="AC741" s="410">
        <f t="shared" ref="AC741" si="2179">AC740</f>
        <v>0</v>
      </c>
      <c r="AD741" s="410">
        <f t="shared" ref="AD741" si="2180">AD740</f>
        <v>0</v>
      </c>
      <c r="AE741" s="410">
        <f t="shared" ref="AE741" si="2181">AE740</f>
        <v>0</v>
      </c>
      <c r="AF741" s="410">
        <f t="shared" ref="AF741" si="2182">AF740</f>
        <v>0</v>
      </c>
      <c r="AG741" s="410">
        <f t="shared" ref="AG741" si="2183">AG740</f>
        <v>0</v>
      </c>
      <c r="AH741" s="410">
        <f t="shared" ref="AH741" si="2184">AH740</f>
        <v>0</v>
      </c>
      <c r="AI741" s="410">
        <f t="shared" ref="AI741" si="2185">AI740</f>
        <v>0</v>
      </c>
      <c r="AJ741" s="410">
        <f t="shared" ref="AJ741" si="2186">AJ740</f>
        <v>0</v>
      </c>
      <c r="AK741" s="410">
        <f t="shared" ref="AK741" si="2187">AK740</f>
        <v>0</v>
      </c>
      <c r="AL741" s="410">
        <f t="shared" ref="AL741" si="2188">AL740</f>
        <v>0</v>
      </c>
      <c r="AM741" s="306"/>
    </row>
    <row r="742" spans="1:39" outlineLevel="1">
      <c r="A742" s="527"/>
      <c r="B742" s="425"/>
      <c r="C742" s="758"/>
      <c r="D742" s="758"/>
      <c r="E742" s="758"/>
      <c r="F742" s="758"/>
      <c r="G742" s="758"/>
      <c r="H742" s="758"/>
      <c r="I742" s="758"/>
      <c r="J742" s="758"/>
      <c r="K742" s="758"/>
      <c r="L742" s="758"/>
      <c r="M742" s="758"/>
      <c r="N742" s="758"/>
      <c r="O742" s="758"/>
      <c r="P742" s="758"/>
      <c r="Q742" s="758"/>
      <c r="R742" s="758"/>
      <c r="S742" s="758"/>
      <c r="T742" s="758"/>
      <c r="U742" s="758"/>
      <c r="V742" s="758"/>
      <c r="W742" s="758"/>
      <c r="X742" s="758"/>
      <c r="Y742" s="411"/>
      <c r="Z742" s="422"/>
      <c r="AA742" s="422"/>
      <c r="AB742" s="422"/>
      <c r="AC742" s="422"/>
      <c r="AD742" s="422"/>
      <c r="AE742" s="422"/>
      <c r="AF742" s="422"/>
      <c r="AG742" s="422"/>
      <c r="AH742" s="422"/>
      <c r="AI742" s="422"/>
      <c r="AJ742" s="422"/>
      <c r="AK742" s="422"/>
      <c r="AL742" s="422"/>
      <c r="AM742" s="306"/>
    </row>
    <row r="743" spans="1:39" ht="30" outlineLevel="1">
      <c r="A743" s="527">
        <v>43</v>
      </c>
      <c r="B743" s="425" t="s">
        <v>135</v>
      </c>
      <c r="C743" s="758"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3"/>
      <c r="Z743" s="409"/>
      <c r="AA743" s="409"/>
      <c r="AB743" s="409"/>
      <c r="AC743" s="409"/>
      <c r="AD743" s="409"/>
      <c r="AE743" s="409"/>
      <c r="AF743" s="414"/>
      <c r="AG743" s="414"/>
      <c r="AH743" s="414"/>
      <c r="AI743" s="414"/>
      <c r="AJ743" s="414"/>
      <c r="AK743" s="414"/>
      <c r="AL743" s="414"/>
      <c r="AM743" s="296">
        <f>SUM(Y743:AL743)</f>
        <v>0</v>
      </c>
    </row>
    <row r="744" spans="1:39" outlineLevel="1">
      <c r="A744" s="527"/>
      <c r="B744" s="294" t="s">
        <v>310</v>
      </c>
      <c r="C744" s="758"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0">
        <f>Y743</f>
        <v>0</v>
      </c>
      <c r="Z744" s="410">
        <f t="shared" ref="Z744" si="2189">Z743</f>
        <v>0</v>
      </c>
      <c r="AA744" s="410">
        <f t="shared" ref="AA744" si="2190">AA743</f>
        <v>0</v>
      </c>
      <c r="AB744" s="410">
        <f t="shared" ref="AB744" si="2191">AB743</f>
        <v>0</v>
      </c>
      <c r="AC744" s="410">
        <f t="shared" ref="AC744" si="2192">AC743</f>
        <v>0</v>
      </c>
      <c r="AD744" s="410">
        <f t="shared" ref="AD744" si="2193">AD743</f>
        <v>0</v>
      </c>
      <c r="AE744" s="410">
        <f t="shared" ref="AE744" si="2194">AE743</f>
        <v>0</v>
      </c>
      <c r="AF744" s="410">
        <f t="shared" ref="AF744" si="2195">AF743</f>
        <v>0</v>
      </c>
      <c r="AG744" s="410">
        <f t="shared" ref="AG744" si="2196">AG743</f>
        <v>0</v>
      </c>
      <c r="AH744" s="410">
        <f t="shared" ref="AH744" si="2197">AH743</f>
        <v>0</v>
      </c>
      <c r="AI744" s="410">
        <f t="shared" ref="AI744" si="2198">AI743</f>
        <v>0</v>
      </c>
      <c r="AJ744" s="410">
        <f t="shared" ref="AJ744" si="2199">AJ743</f>
        <v>0</v>
      </c>
      <c r="AK744" s="410">
        <f t="shared" ref="AK744" si="2200">AK743</f>
        <v>0</v>
      </c>
      <c r="AL744" s="410">
        <f t="shared" ref="AL744" si="2201">AL743</f>
        <v>0</v>
      </c>
      <c r="AM744" s="306"/>
    </row>
    <row r="745" spans="1:39" outlineLevel="1">
      <c r="A745" s="527"/>
      <c r="B745" s="425"/>
      <c r="C745" s="758"/>
      <c r="D745" s="758"/>
      <c r="E745" s="758"/>
      <c r="F745" s="758"/>
      <c r="G745" s="758"/>
      <c r="H745" s="758"/>
      <c r="I745" s="758"/>
      <c r="J745" s="758"/>
      <c r="K745" s="758"/>
      <c r="L745" s="758"/>
      <c r="M745" s="758"/>
      <c r="N745" s="758"/>
      <c r="O745" s="758"/>
      <c r="P745" s="758"/>
      <c r="Q745" s="758"/>
      <c r="R745" s="758"/>
      <c r="S745" s="758"/>
      <c r="T745" s="758"/>
      <c r="U745" s="758"/>
      <c r="V745" s="758"/>
      <c r="W745" s="758"/>
      <c r="X745" s="758"/>
      <c r="Y745" s="411"/>
      <c r="Z745" s="422"/>
      <c r="AA745" s="422"/>
      <c r="AB745" s="422"/>
      <c r="AC745" s="422"/>
      <c r="AD745" s="422"/>
      <c r="AE745" s="422"/>
      <c r="AF745" s="422"/>
      <c r="AG745" s="422"/>
      <c r="AH745" s="422"/>
      <c r="AI745" s="422"/>
      <c r="AJ745" s="422"/>
      <c r="AK745" s="422"/>
      <c r="AL745" s="422"/>
      <c r="AM745" s="306"/>
    </row>
    <row r="746" spans="1:39" ht="60" outlineLevel="1">
      <c r="A746" s="527">
        <v>44</v>
      </c>
      <c r="B746" s="425" t="s">
        <v>136</v>
      </c>
      <c r="C746" s="758"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3"/>
      <c r="Z746" s="409"/>
      <c r="AA746" s="409"/>
      <c r="AB746" s="409"/>
      <c r="AC746" s="409"/>
      <c r="AD746" s="409"/>
      <c r="AE746" s="409"/>
      <c r="AF746" s="414"/>
      <c r="AG746" s="414"/>
      <c r="AH746" s="414"/>
      <c r="AI746" s="414"/>
      <c r="AJ746" s="414"/>
      <c r="AK746" s="414"/>
      <c r="AL746" s="414"/>
      <c r="AM746" s="296">
        <f>SUM(Y746:AL746)</f>
        <v>0</v>
      </c>
    </row>
    <row r="747" spans="1:39" outlineLevel="1">
      <c r="A747" s="527"/>
      <c r="B747" s="294" t="s">
        <v>310</v>
      </c>
      <c r="C747" s="758"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0">
        <f>Y746</f>
        <v>0</v>
      </c>
      <c r="Z747" s="410">
        <f t="shared" ref="Z747" si="2202">Z746</f>
        <v>0</v>
      </c>
      <c r="AA747" s="410">
        <f t="shared" ref="AA747" si="2203">AA746</f>
        <v>0</v>
      </c>
      <c r="AB747" s="410">
        <f t="shared" ref="AB747" si="2204">AB746</f>
        <v>0</v>
      </c>
      <c r="AC747" s="410">
        <f t="shared" ref="AC747" si="2205">AC746</f>
        <v>0</v>
      </c>
      <c r="AD747" s="410">
        <f t="shared" ref="AD747" si="2206">AD746</f>
        <v>0</v>
      </c>
      <c r="AE747" s="410">
        <f t="shared" ref="AE747" si="2207">AE746</f>
        <v>0</v>
      </c>
      <c r="AF747" s="410">
        <f t="shared" ref="AF747" si="2208">AF746</f>
        <v>0</v>
      </c>
      <c r="AG747" s="410">
        <f t="shared" ref="AG747" si="2209">AG746</f>
        <v>0</v>
      </c>
      <c r="AH747" s="410">
        <f t="shared" ref="AH747" si="2210">AH746</f>
        <v>0</v>
      </c>
      <c r="AI747" s="410">
        <f t="shared" ref="AI747" si="2211">AI746</f>
        <v>0</v>
      </c>
      <c r="AJ747" s="410">
        <f t="shared" ref="AJ747" si="2212">AJ746</f>
        <v>0</v>
      </c>
      <c r="AK747" s="410">
        <f t="shared" ref="AK747" si="2213">AK746</f>
        <v>0</v>
      </c>
      <c r="AL747" s="410">
        <f t="shared" ref="AL747" si="2214">AL746</f>
        <v>0</v>
      </c>
      <c r="AM747" s="306"/>
    </row>
    <row r="748" spans="1:39" outlineLevel="1">
      <c r="A748" s="527"/>
      <c r="B748" s="425"/>
      <c r="C748" s="758"/>
      <c r="D748" s="758"/>
      <c r="E748" s="758"/>
      <c r="F748" s="758"/>
      <c r="G748" s="758"/>
      <c r="H748" s="758"/>
      <c r="I748" s="758"/>
      <c r="J748" s="758"/>
      <c r="K748" s="758"/>
      <c r="L748" s="758"/>
      <c r="M748" s="758"/>
      <c r="N748" s="758"/>
      <c r="O748" s="758"/>
      <c r="P748" s="758"/>
      <c r="Q748" s="758"/>
      <c r="R748" s="758"/>
      <c r="S748" s="758"/>
      <c r="T748" s="758"/>
      <c r="U748" s="758"/>
      <c r="V748" s="758"/>
      <c r="W748" s="758"/>
      <c r="X748" s="758"/>
      <c r="Y748" s="411"/>
      <c r="Z748" s="422"/>
      <c r="AA748" s="422"/>
      <c r="AB748" s="422"/>
      <c r="AC748" s="422"/>
      <c r="AD748" s="422"/>
      <c r="AE748" s="422"/>
      <c r="AF748" s="422"/>
      <c r="AG748" s="422"/>
      <c r="AH748" s="422"/>
      <c r="AI748" s="422"/>
      <c r="AJ748" s="422"/>
      <c r="AK748" s="422"/>
      <c r="AL748" s="422"/>
      <c r="AM748" s="306"/>
    </row>
    <row r="749" spans="1:39" ht="60" outlineLevel="1">
      <c r="A749" s="527">
        <v>45</v>
      </c>
      <c r="B749" s="906" t="s">
        <v>854</v>
      </c>
      <c r="C749" s="786" t="s">
        <v>781</v>
      </c>
      <c r="D749" s="295"/>
      <c r="E749" s="295"/>
      <c r="F749" s="295"/>
      <c r="G749" s="295"/>
      <c r="H749" s="295"/>
      <c r="I749" s="295"/>
      <c r="J749" s="295"/>
      <c r="K749" s="295"/>
      <c r="L749" s="295"/>
      <c r="M749" s="295"/>
      <c r="N749" s="919"/>
      <c r="O749" s="295"/>
      <c r="P749" s="295"/>
      <c r="Q749" s="295"/>
      <c r="R749" s="295"/>
      <c r="S749" s="295"/>
      <c r="T749" s="295"/>
      <c r="U749" s="295"/>
      <c r="V749" s="295"/>
      <c r="W749" s="295"/>
      <c r="X749" s="295"/>
      <c r="Y749" s="772"/>
      <c r="Z749" s="409"/>
      <c r="AA749" s="409"/>
      <c r="AB749" s="409"/>
      <c r="AC749" s="409"/>
      <c r="AD749" s="409"/>
      <c r="AE749" s="409"/>
      <c r="AF749" s="414"/>
      <c r="AG749" s="414"/>
      <c r="AH749" s="414"/>
      <c r="AI749" s="414"/>
      <c r="AJ749" s="414"/>
      <c r="AK749" s="414"/>
      <c r="AL749" s="414"/>
      <c r="AM749" s="296">
        <f>SUM(Y749:AL749)</f>
        <v>0</v>
      </c>
    </row>
    <row r="750" spans="1:39" outlineLevel="1">
      <c r="A750" s="527"/>
      <c r="B750" s="294" t="s">
        <v>310</v>
      </c>
      <c r="C750" s="758" t="s">
        <v>163</v>
      </c>
      <c r="D750" s="295"/>
      <c r="E750" s="295"/>
      <c r="F750" s="295"/>
      <c r="G750" s="295"/>
      <c r="H750" s="295"/>
      <c r="I750" s="295"/>
      <c r="J750" s="295"/>
      <c r="K750" s="295"/>
      <c r="L750" s="295"/>
      <c r="M750" s="295"/>
      <c r="N750" s="919"/>
      <c r="O750" s="295"/>
      <c r="P750" s="295"/>
      <c r="Q750" s="295"/>
      <c r="R750" s="295"/>
      <c r="S750" s="295"/>
      <c r="T750" s="295"/>
      <c r="U750" s="295"/>
      <c r="V750" s="295"/>
      <c r="W750" s="295"/>
      <c r="X750" s="295"/>
      <c r="Y750" s="410">
        <f>Y749</f>
        <v>0</v>
      </c>
      <c r="Z750" s="410">
        <f t="shared" ref="Z750" si="2215">Z749</f>
        <v>0</v>
      </c>
      <c r="AA750" s="410">
        <f t="shared" ref="AA750" si="2216">AA749</f>
        <v>0</v>
      </c>
      <c r="AB750" s="410">
        <f t="shared" ref="AB750" si="2217">AB749</f>
        <v>0</v>
      </c>
      <c r="AC750" s="410">
        <f t="shared" ref="AC750" si="2218">AC749</f>
        <v>0</v>
      </c>
      <c r="AD750" s="410">
        <f t="shared" ref="AD750" si="2219">AD749</f>
        <v>0</v>
      </c>
      <c r="AE750" s="410">
        <f t="shared" ref="AE750" si="2220">AE749</f>
        <v>0</v>
      </c>
      <c r="AF750" s="410">
        <f t="shared" ref="AF750" si="2221">AF749</f>
        <v>0</v>
      </c>
      <c r="AG750" s="410">
        <f t="shared" ref="AG750" si="2222">AG749</f>
        <v>0</v>
      </c>
      <c r="AH750" s="410">
        <f t="shared" ref="AH750" si="2223">AH749</f>
        <v>0</v>
      </c>
      <c r="AI750" s="410">
        <f t="shared" ref="AI750" si="2224">AI749</f>
        <v>0</v>
      </c>
      <c r="AJ750" s="410">
        <f t="shared" ref="AJ750" si="2225">AJ749</f>
        <v>0</v>
      </c>
      <c r="AK750" s="410">
        <f t="shared" ref="AK750" si="2226">AK749</f>
        <v>0</v>
      </c>
      <c r="AL750" s="410">
        <f t="shared" ref="AL750" si="2227">AL749</f>
        <v>0</v>
      </c>
      <c r="AM750" s="306"/>
    </row>
    <row r="751" spans="1:39" outlineLevel="1">
      <c r="A751" s="527"/>
      <c r="B751" s="425"/>
      <c r="C751" s="758"/>
      <c r="D751" s="758"/>
      <c r="E751" s="758"/>
      <c r="F751" s="758"/>
      <c r="G751" s="758"/>
      <c r="H751" s="758"/>
      <c r="I751" s="758"/>
      <c r="J751" s="758"/>
      <c r="K751" s="758"/>
      <c r="L751" s="758"/>
      <c r="M751" s="758"/>
      <c r="N751" s="758"/>
      <c r="O751" s="758"/>
      <c r="P751" s="758"/>
      <c r="Q751" s="758"/>
      <c r="R751" s="758"/>
      <c r="S751" s="758"/>
      <c r="T751" s="758"/>
      <c r="U751" s="758"/>
      <c r="V751" s="758"/>
      <c r="W751" s="758"/>
      <c r="X751" s="758"/>
      <c r="Y751" s="411"/>
      <c r="Z751" s="422"/>
      <c r="AA751" s="422"/>
      <c r="AB751" s="422"/>
      <c r="AC751" s="422"/>
      <c r="AD751" s="422"/>
      <c r="AE751" s="422"/>
      <c r="AF751" s="422"/>
      <c r="AG751" s="422"/>
      <c r="AH751" s="422"/>
      <c r="AI751" s="422"/>
      <c r="AJ751" s="422"/>
      <c r="AK751" s="422"/>
      <c r="AL751" s="422"/>
      <c r="AM751" s="306"/>
    </row>
    <row r="752" spans="1:39" ht="45" outlineLevel="1">
      <c r="A752" s="527">
        <v>46</v>
      </c>
      <c r="B752" s="425" t="s">
        <v>138</v>
      </c>
      <c r="C752" s="758" t="s">
        <v>25</v>
      </c>
      <c r="D752" s="295"/>
      <c r="E752" s="295"/>
      <c r="F752" s="295"/>
      <c r="G752" s="295"/>
      <c r="H752" s="295"/>
      <c r="I752" s="295"/>
      <c r="J752" s="295"/>
      <c r="K752" s="295"/>
      <c r="L752" s="295"/>
      <c r="M752" s="295"/>
      <c r="N752" s="295">
        <v>12</v>
      </c>
      <c r="O752" s="295"/>
      <c r="P752" s="295"/>
      <c r="Q752" s="295"/>
      <c r="R752" s="295"/>
      <c r="S752" s="295"/>
      <c r="T752" s="295"/>
      <c r="U752" s="295"/>
      <c r="V752" s="295"/>
      <c r="W752" s="295"/>
      <c r="X752" s="295"/>
      <c r="Y752" s="423"/>
      <c r="Z752" s="409"/>
      <c r="AA752" s="409"/>
      <c r="AB752" s="409"/>
      <c r="AC752" s="409"/>
      <c r="AD752" s="409"/>
      <c r="AE752" s="409"/>
      <c r="AF752" s="414"/>
      <c r="AG752" s="414"/>
      <c r="AH752" s="414"/>
      <c r="AI752" s="414"/>
      <c r="AJ752" s="414"/>
      <c r="AK752" s="414"/>
      <c r="AL752" s="414"/>
      <c r="AM752" s="296">
        <f>SUM(Y752:AL752)</f>
        <v>0</v>
      </c>
    </row>
    <row r="753" spans="1:39" outlineLevel="1">
      <c r="A753" s="527"/>
      <c r="B753" s="294" t="s">
        <v>310</v>
      </c>
      <c r="C753" s="758" t="s">
        <v>163</v>
      </c>
      <c r="D753" s="295"/>
      <c r="E753" s="295"/>
      <c r="F753" s="295"/>
      <c r="G753" s="295"/>
      <c r="H753" s="295"/>
      <c r="I753" s="295"/>
      <c r="J753" s="295"/>
      <c r="K753" s="295"/>
      <c r="L753" s="295"/>
      <c r="M753" s="295"/>
      <c r="N753" s="295">
        <f>N752</f>
        <v>12</v>
      </c>
      <c r="O753" s="295"/>
      <c r="P753" s="295"/>
      <c r="Q753" s="295"/>
      <c r="R753" s="295"/>
      <c r="S753" s="295"/>
      <c r="T753" s="295"/>
      <c r="U753" s="295"/>
      <c r="V753" s="295"/>
      <c r="W753" s="295"/>
      <c r="X753" s="295"/>
      <c r="Y753" s="410">
        <f>Y752</f>
        <v>0</v>
      </c>
      <c r="Z753" s="410">
        <f t="shared" ref="Z753" si="2228">Z752</f>
        <v>0</v>
      </c>
      <c r="AA753" s="410">
        <f t="shared" ref="AA753" si="2229">AA752</f>
        <v>0</v>
      </c>
      <c r="AB753" s="410">
        <f t="shared" ref="AB753" si="2230">AB752</f>
        <v>0</v>
      </c>
      <c r="AC753" s="410">
        <f t="shared" ref="AC753" si="2231">AC752</f>
        <v>0</v>
      </c>
      <c r="AD753" s="410">
        <f t="shared" ref="AD753" si="2232">AD752</f>
        <v>0</v>
      </c>
      <c r="AE753" s="410">
        <f t="shared" ref="AE753" si="2233">AE752</f>
        <v>0</v>
      </c>
      <c r="AF753" s="410">
        <f t="shared" ref="AF753" si="2234">AF752</f>
        <v>0</v>
      </c>
      <c r="AG753" s="410">
        <f t="shared" ref="AG753" si="2235">AG752</f>
        <v>0</v>
      </c>
      <c r="AH753" s="410">
        <f t="shared" ref="AH753" si="2236">AH752</f>
        <v>0</v>
      </c>
      <c r="AI753" s="410">
        <f t="shared" ref="AI753" si="2237">AI752</f>
        <v>0</v>
      </c>
      <c r="AJ753" s="410">
        <f t="shared" ref="AJ753" si="2238">AJ752</f>
        <v>0</v>
      </c>
      <c r="AK753" s="410">
        <f t="shared" ref="AK753" si="2239">AK752</f>
        <v>0</v>
      </c>
      <c r="AL753" s="410">
        <f t="shared" ref="AL753" si="2240">AL752</f>
        <v>0</v>
      </c>
      <c r="AM753" s="306"/>
    </row>
    <row r="754" spans="1:39" outlineLevel="1">
      <c r="A754" s="527"/>
      <c r="B754" s="425"/>
      <c r="C754" s="758"/>
      <c r="D754" s="758"/>
      <c r="E754" s="758"/>
      <c r="F754" s="758"/>
      <c r="G754" s="758"/>
      <c r="H754" s="758"/>
      <c r="I754" s="758"/>
      <c r="J754" s="758"/>
      <c r="K754" s="758"/>
      <c r="L754" s="758"/>
      <c r="M754" s="758"/>
      <c r="N754" s="758"/>
      <c r="O754" s="758"/>
      <c r="P754" s="758"/>
      <c r="Q754" s="758"/>
      <c r="R754" s="758"/>
      <c r="S754" s="758"/>
      <c r="T754" s="758"/>
      <c r="U754" s="758"/>
      <c r="V754" s="758"/>
      <c r="W754" s="758"/>
      <c r="X754" s="758"/>
      <c r="Y754" s="411"/>
      <c r="Z754" s="422"/>
      <c r="AA754" s="422"/>
      <c r="AB754" s="422"/>
      <c r="AC754" s="422"/>
      <c r="AD754" s="422"/>
      <c r="AE754" s="422"/>
      <c r="AF754" s="422"/>
      <c r="AG754" s="422"/>
      <c r="AH754" s="422"/>
      <c r="AI754" s="422"/>
      <c r="AJ754" s="422"/>
      <c r="AK754" s="422"/>
      <c r="AL754" s="422"/>
      <c r="AM754" s="306"/>
    </row>
    <row r="755" spans="1:39" ht="45" outlineLevel="1">
      <c r="A755" s="527">
        <v>47</v>
      </c>
      <c r="B755" s="425" t="s">
        <v>139</v>
      </c>
      <c r="C755" s="758" t="s">
        <v>25</v>
      </c>
      <c r="D755" s="295"/>
      <c r="E755" s="295"/>
      <c r="F755" s="295"/>
      <c r="G755" s="295"/>
      <c r="H755" s="295"/>
      <c r="I755" s="295"/>
      <c r="J755" s="295"/>
      <c r="K755" s="295"/>
      <c r="L755" s="295"/>
      <c r="M755" s="295"/>
      <c r="N755" s="295">
        <v>12</v>
      </c>
      <c r="O755" s="295"/>
      <c r="P755" s="295"/>
      <c r="Q755" s="295"/>
      <c r="R755" s="295"/>
      <c r="S755" s="295"/>
      <c r="T755" s="295"/>
      <c r="U755" s="295"/>
      <c r="V755" s="295"/>
      <c r="W755" s="295"/>
      <c r="X755" s="295"/>
      <c r="Y755" s="423"/>
      <c r="Z755" s="409"/>
      <c r="AA755" s="409"/>
      <c r="AB755" s="409"/>
      <c r="AC755" s="409"/>
      <c r="AD755" s="409"/>
      <c r="AE755" s="409"/>
      <c r="AF755" s="414"/>
      <c r="AG755" s="414"/>
      <c r="AH755" s="414"/>
      <c r="AI755" s="414"/>
      <c r="AJ755" s="414"/>
      <c r="AK755" s="414"/>
      <c r="AL755" s="414"/>
      <c r="AM755" s="296">
        <f>SUM(Y755:AL755)</f>
        <v>0</v>
      </c>
    </row>
    <row r="756" spans="1:39" outlineLevel="1">
      <c r="A756" s="527"/>
      <c r="B756" s="294" t="s">
        <v>310</v>
      </c>
      <c r="C756" s="758" t="s">
        <v>163</v>
      </c>
      <c r="D756" s="295"/>
      <c r="E756" s="295"/>
      <c r="F756" s="295"/>
      <c r="G756" s="295"/>
      <c r="H756" s="295"/>
      <c r="I756" s="295"/>
      <c r="J756" s="295"/>
      <c r="K756" s="295"/>
      <c r="L756" s="295"/>
      <c r="M756" s="295"/>
      <c r="N756" s="295">
        <f>N755</f>
        <v>12</v>
      </c>
      <c r="O756" s="295"/>
      <c r="P756" s="295"/>
      <c r="Q756" s="295"/>
      <c r="R756" s="295"/>
      <c r="S756" s="295"/>
      <c r="T756" s="295"/>
      <c r="U756" s="295"/>
      <c r="V756" s="295"/>
      <c r="W756" s="295"/>
      <c r="X756" s="295"/>
      <c r="Y756" s="410">
        <f>Y755</f>
        <v>0</v>
      </c>
      <c r="Z756" s="410">
        <f t="shared" ref="Z756" si="2241">Z755</f>
        <v>0</v>
      </c>
      <c r="AA756" s="410">
        <f t="shared" ref="AA756" si="2242">AA755</f>
        <v>0</v>
      </c>
      <c r="AB756" s="410">
        <f t="shared" ref="AB756" si="2243">AB755</f>
        <v>0</v>
      </c>
      <c r="AC756" s="410">
        <f t="shared" ref="AC756" si="2244">AC755</f>
        <v>0</v>
      </c>
      <c r="AD756" s="410">
        <f t="shared" ref="AD756" si="2245">AD755</f>
        <v>0</v>
      </c>
      <c r="AE756" s="410">
        <f t="shared" ref="AE756" si="2246">AE755</f>
        <v>0</v>
      </c>
      <c r="AF756" s="410">
        <f t="shared" ref="AF756" si="2247">AF755</f>
        <v>0</v>
      </c>
      <c r="AG756" s="410">
        <f t="shared" ref="AG756" si="2248">AG755</f>
        <v>0</v>
      </c>
      <c r="AH756" s="410">
        <f t="shared" ref="AH756" si="2249">AH755</f>
        <v>0</v>
      </c>
      <c r="AI756" s="410">
        <f t="shared" ref="AI756" si="2250">AI755</f>
        <v>0</v>
      </c>
      <c r="AJ756" s="410">
        <f t="shared" ref="AJ756" si="2251">AJ755</f>
        <v>0</v>
      </c>
      <c r="AK756" s="410">
        <f t="shared" ref="AK756" si="2252">AK755</f>
        <v>0</v>
      </c>
      <c r="AL756" s="410">
        <f t="shared" ref="AL756" si="2253">AL755</f>
        <v>0</v>
      </c>
      <c r="AM756" s="306"/>
    </row>
    <row r="757" spans="1:39" outlineLevel="1">
      <c r="A757" s="527"/>
      <c r="B757" s="425"/>
      <c r="C757" s="758"/>
      <c r="D757" s="758"/>
      <c r="E757" s="758"/>
      <c r="F757" s="758"/>
      <c r="G757" s="758"/>
      <c r="H757" s="758"/>
      <c r="I757" s="758"/>
      <c r="J757" s="758"/>
      <c r="K757" s="758"/>
      <c r="L757" s="758"/>
      <c r="M757" s="758"/>
      <c r="N757" s="758"/>
      <c r="O757" s="758"/>
      <c r="P757" s="758"/>
      <c r="Q757" s="758"/>
      <c r="R757" s="758"/>
      <c r="S757" s="758"/>
      <c r="T757" s="758"/>
      <c r="U757" s="758"/>
      <c r="V757" s="758"/>
      <c r="W757" s="758"/>
      <c r="X757" s="758"/>
      <c r="Y757" s="411"/>
      <c r="Z757" s="422"/>
      <c r="AA757" s="422"/>
      <c r="AB757" s="422"/>
      <c r="AC757" s="422"/>
      <c r="AD757" s="422"/>
      <c r="AE757" s="422"/>
      <c r="AF757" s="422"/>
      <c r="AG757" s="422"/>
      <c r="AH757" s="422"/>
      <c r="AI757" s="422"/>
      <c r="AJ757" s="422"/>
      <c r="AK757" s="422"/>
      <c r="AL757" s="422"/>
      <c r="AM757" s="306"/>
    </row>
    <row r="758" spans="1:39" ht="45" outlineLevel="1">
      <c r="A758" s="527">
        <v>48</v>
      </c>
      <c r="B758" s="425" t="s">
        <v>140</v>
      </c>
      <c r="C758" s="758" t="s">
        <v>25</v>
      </c>
      <c r="D758" s="295"/>
      <c r="E758" s="295"/>
      <c r="F758" s="295"/>
      <c r="G758" s="295"/>
      <c r="H758" s="295"/>
      <c r="I758" s="295"/>
      <c r="J758" s="295"/>
      <c r="K758" s="295"/>
      <c r="L758" s="295"/>
      <c r="M758" s="295"/>
      <c r="N758" s="295">
        <v>12</v>
      </c>
      <c r="O758" s="295"/>
      <c r="P758" s="295"/>
      <c r="Q758" s="295"/>
      <c r="R758" s="295"/>
      <c r="S758" s="295"/>
      <c r="T758" s="295"/>
      <c r="U758" s="295"/>
      <c r="V758" s="295"/>
      <c r="W758" s="295"/>
      <c r="X758" s="295"/>
      <c r="Y758" s="423"/>
      <c r="Z758" s="409"/>
      <c r="AA758" s="409"/>
      <c r="AB758" s="409"/>
      <c r="AC758" s="409"/>
      <c r="AD758" s="409"/>
      <c r="AE758" s="409"/>
      <c r="AF758" s="414"/>
      <c r="AG758" s="414"/>
      <c r="AH758" s="414"/>
      <c r="AI758" s="414"/>
      <c r="AJ758" s="414"/>
      <c r="AK758" s="414"/>
      <c r="AL758" s="414"/>
      <c r="AM758" s="296">
        <f>SUM(Y758:AL758)</f>
        <v>0</v>
      </c>
    </row>
    <row r="759" spans="1:39" outlineLevel="1">
      <c r="A759" s="527"/>
      <c r="B759" s="294" t="s">
        <v>310</v>
      </c>
      <c r="C759" s="758" t="s">
        <v>163</v>
      </c>
      <c r="D759" s="295"/>
      <c r="E759" s="295"/>
      <c r="F759" s="295"/>
      <c r="G759" s="295"/>
      <c r="H759" s="295"/>
      <c r="I759" s="295"/>
      <c r="J759" s="295"/>
      <c r="K759" s="295"/>
      <c r="L759" s="295"/>
      <c r="M759" s="295"/>
      <c r="N759" s="295">
        <f>N758</f>
        <v>12</v>
      </c>
      <c r="O759" s="295"/>
      <c r="P759" s="295"/>
      <c r="Q759" s="295"/>
      <c r="R759" s="295"/>
      <c r="S759" s="295"/>
      <c r="T759" s="295"/>
      <c r="U759" s="295"/>
      <c r="V759" s="295"/>
      <c r="W759" s="295"/>
      <c r="X759" s="295"/>
      <c r="Y759" s="410">
        <f>Y758</f>
        <v>0</v>
      </c>
      <c r="Z759" s="410">
        <f t="shared" ref="Z759" si="2254">Z758</f>
        <v>0</v>
      </c>
      <c r="AA759" s="410">
        <f t="shared" ref="AA759" si="2255">AA758</f>
        <v>0</v>
      </c>
      <c r="AB759" s="410">
        <f t="shared" ref="AB759" si="2256">AB758</f>
        <v>0</v>
      </c>
      <c r="AC759" s="410">
        <f t="shared" ref="AC759" si="2257">AC758</f>
        <v>0</v>
      </c>
      <c r="AD759" s="410">
        <f t="shared" ref="AD759" si="2258">AD758</f>
        <v>0</v>
      </c>
      <c r="AE759" s="410">
        <f t="shared" ref="AE759" si="2259">AE758</f>
        <v>0</v>
      </c>
      <c r="AF759" s="410">
        <f t="shared" ref="AF759" si="2260">AF758</f>
        <v>0</v>
      </c>
      <c r="AG759" s="410">
        <f t="shared" ref="AG759" si="2261">AG758</f>
        <v>0</v>
      </c>
      <c r="AH759" s="410">
        <f t="shared" ref="AH759" si="2262">AH758</f>
        <v>0</v>
      </c>
      <c r="AI759" s="410">
        <f t="shared" ref="AI759" si="2263">AI758</f>
        <v>0</v>
      </c>
      <c r="AJ759" s="410">
        <f t="shared" ref="AJ759" si="2264">AJ758</f>
        <v>0</v>
      </c>
      <c r="AK759" s="410">
        <f t="shared" ref="AK759" si="2265">AK758</f>
        <v>0</v>
      </c>
      <c r="AL759" s="410">
        <f t="shared" ref="AL759" si="2266">AL758</f>
        <v>0</v>
      </c>
      <c r="AM759" s="306"/>
    </row>
    <row r="760" spans="1:39" outlineLevel="1">
      <c r="A760" s="527"/>
      <c r="B760" s="425"/>
      <c r="C760" s="758"/>
      <c r="D760" s="758"/>
      <c r="E760" s="758"/>
      <c r="F760" s="758"/>
      <c r="G760" s="758"/>
      <c r="H760" s="758"/>
      <c r="I760" s="758"/>
      <c r="J760" s="758"/>
      <c r="K760" s="758"/>
      <c r="L760" s="758"/>
      <c r="M760" s="758"/>
      <c r="N760" s="758"/>
      <c r="O760" s="758"/>
      <c r="P760" s="758"/>
      <c r="Q760" s="758"/>
      <c r="R760" s="758"/>
      <c r="S760" s="758"/>
      <c r="T760" s="758"/>
      <c r="U760" s="758"/>
      <c r="V760" s="758"/>
      <c r="W760" s="758"/>
      <c r="X760" s="758"/>
      <c r="Y760" s="411"/>
      <c r="Z760" s="422"/>
      <c r="AA760" s="422"/>
      <c r="AB760" s="422"/>
      <c r="AC760" s="422"/>
      <c r="AD760" s="422"/>
      <c r="AE760" s="422"/>
      <c r="AF760" s="422"/>
      <c r="AG760" s="422"/>
      <c r="AH760" s="422"/>
      <c r="AI760" s="422"/>
      <c r="AJ760" s="422"/>
      <c r="AK760" s="422"/>
      <c r="AL760" s="422"/>
      <c r="AM760" s="306"/>
    </row>
    <row r="761" spans="1:39" ht="45" outlineLevel="1">
      <c r="A761" s="527">
        <v>49</v>
      </c>
      <c r="B761" s="425" t="s">
        <v>141</v>
      </c>
      <c r="C761" s="758" t="s">
        <v>25</v>
      </c>
      <c r="D761" s="295"/>
      <c r="E761" s="295"/>
      <c r="F761" s="295"/>
      <c r="G761" s="295"/>
      <c r="H761" s="295"/>
      <c r="I761" s="295"/>
      <c r="J761" s="295"/>
      <c r="K761" s="295"/>
      <c r="L761" s="295"/>
      <c r="M761" s="295"/>
      <c r="N761" s="295">
        <v>12</v>
      </c>
      <c r="O761" s="295"/>
      <c r="P761" s="295"/>
      <c r="Q761" s="295"/>
      <c r="R761" s="295"/>
      <c r="S761" s="295"/>
      <c r="T761" s="295"/>
      <c r="U761" s="295"/>
      <c r="V761" s="295"/>
      <c r="W761" s="295"/>
      <c r="X761" s="295"/>
      <c r="Y761" s="423"/>
      <c r="Z761" s="409"/>
      <c r="AA761" s="409"/>
      <c r="AB761" s="409"/>
      <c r="AC761" s="409"/>
      <c r="AD761" s="409"/>
      <c r="AE761" s="409"/>
      <c r="AF761" s="414"/>
      <c r="AG761" s="414"/>
      <c r="AH761" s="414"/>
      <c r="AI761" s="414"/>
      <c r="AJ761" s="414"/>
      <c r="AK761" s="414"/>
      <c r="AL761" s="414"/>
      <c r="AM761" s="296">
        <f>SUM(Y761:AL761)</f>
        <v>0</v>
      </c>
    </row>
    <row r="762" spans="1:39" outlineLevel="1">
      <c r="A762" s="527"/>
      <c r="B762" s="294" t="s">
        <v>310</v>
      </c>
      <c r="C762" s="758" t="s">
        <v>163</v>
      </c>
      <c r="D762" s="295"/>
      <c r="E762" s="295"/>
      <c r="F762" s="295"/>
      <c r="G762" s="295"/>
      <c r="H762" s="295"/>
      <c r="I762" s="295"/>
      <c r="J762" s="295"/>
      <c r="K762" s="295"/>
      <c r="L762" s="295"/>
      <c r="M762" s="295"/>
      <c r="N762" s="295">
        <f>N761</f>
        <v>12</v>
      </c>
      <c r="O762" s="295"/>
      <c r="P762" s="295"/>
      <c r="Q762" s="295"/>
      <c r="R762" s="295"/>
      <c r="S762" s="295"/>
      <c r="T762" s="295"/>
      <c r="U762" s="295"/>
      <c r="V762" s="295"/>
      <c r="W762" s="295"/>
      <c r="X762" s="295"/>
      <c r="Y762" s="410">
        <f>Y761</f>
        <v>0</v>
      </c>
      <c r="Z762" s="410">
        <f t="shared" ref="Z762" si="2267">Z761</f>
        <v>0</v>
      </c>
      <c r="AA762" s="410">
        <f t="shared" ref="AA762" si="2268">AA761</f>
        <v>0</v>
      </c>
      <c r="AB762" s="410">
        <f t="shared" ref="AB762" si="2269">AB761</f>
        <v>0</v>
      </c>
      <c r="AC762" s="410">
        <f t="shared" ref="AC762" si="2270">AC761</f>
        <v>0</v>
      </c>
      <c r="AD762" s="410">
        <f t="shared" ref="AD762" si="2271">AD761</f>
        <v>0</v>
      </c>
      <c r="AE762" s="410">
        <f t="shared" ref="AE762" si="2272">AE761</f>
        <v>0</v>
      </c>
      <c r="AF762" s="410">
        <f t="shared" ref="AF762" si="2273">AF761</f>
        <v>0</v>
      </c>
      <c r="AG762" s="410">
        <f t="shared" ref="AG762" si="2274">AG761</f>
        <v>0</v>
      </c>
      <c r="AH762" s="410">
        <f t="shared" ref="AH762" si="2275">AH761</f>
        <v>0</v>
      </c>
      <c r="AI762" s="410">
        <f t="shared" ref="AI762" si="2276">AI761</f>
        <v>0</v>
      </c>
      <c r="AJ762" s="410">
        <f t="shared" ref="AJ762" si="2277">AJ761</f>
        <v>0</v>
      </c>
      <c r="AK762" s="410">
        <f t="shared" ref="AK762" si="2278">AK761</f>
        <v>0</v>
      </c>
      <c r="AL762" s="410">
        <f t="shared" ref="AL762" si="2279">AL761</f>
        <v>0</v>
      </c>
      <c r="AM762" s="306"/>
    </row>
    <row r="763" spans="1:39" s="930" customFormat="1" outlineLevel="1">
      <c r="A763" s="933"/>
      <c r="B763" s="918"/>
      <c r="C763" s="758"/>
      <c r="D763" s="910"/>
      <c r="E763" s="910"/>
      <c r="F763" s="910"/>
      <c r="G763" s="910"/>
      <c r="H763" s="910"/>
      <c r="I763" s="910"/>
      <c r="J763" s="910"/>
      <c r="K763" s="910"/>
      <c r="L763" s="910"/>
      <c r="M763" s="910"/>
      <c r="N763" s="910"/>
      <c r="O763" s="910"/>
      <c r="P763" s="910"/>
      <c r="Q763" s="910"/>
      <c r="R763" s="910"/>
      <c r="S763" s="910"/>
      <c r="T763" s="910"/>
      <c r="U763" s="910"/>
      <c r="V763" s="910"/>
      <c r="W763" s="910"/>
      <c r="X763" s="910"/>
      <c r="Y763" s="925"/>
      <c r="Z763" s="925"/>
      <c r="AA763" s="925"/>
      <c r="AB763" s="925"/>
      <c r="AC763" s="925"/>
      <c r="AD763" s="925"/>
      <c r="AE763" s="925"/>
      <c r="AF763" s="925"/>
      <c r="AG763" s="925"/>
      <c r="AH763" s="925"/>
      <c r="AI763" s="925"/>
      <c r="AJ763" s="925"/>
      <c r="AK763" s="925"/>
      <c r="AL763" s="925"/>
      <c r="AM763" s="921"/>
    </row>
    <row r="764" spans="1:39" s="930" customFormat="1" ht="30" outlineLevel="1">
      <c r="A764" s="933"/>
      <c r="B764" s="906" t="s">
        <v>855</v>
      </c>
      <c r="C764" s="905" t="s">
        <v>781</v>
      </c>
      <c r="D764" s="919">
        <f>+'7.  Persistence Report'!AX222</f>
        <v>282000</v>
      </c>
      <c r="E764" s="919">
        <f>+'7.  Persistence Report'!AY222</f>
        <v>282000</v>
      </c>
      <c r="F764" s="919">
        <f>+'7.  Persistence Report'!AZ222</f>
        <v>282000</v>
      </c>
      <c r="G764" s="919">
        <f>+'7.  Persistence Report'!BA222</f>
        <v>282000</v>
      </c>
      <c r="H764" s="919">
        <f>+'7.  Persistence Report'!BB222</f>
        <v>282000</v>
      </c>
      <c r="I764" s="919">
        <f>+'7.  Persistence Report'!BC222</f>
        <v>282000</v>
      </c>
      <c r="J764" s="919">
        <f>+'7.  Persistence Report'!BD222</f>
        <v>0</v>
      </c>
      <c r="K764" s="919">
        <f>+'7.  Persistence Report'!BE222</f>
        <v>0</v>
      </c>
      <c r="L764" s="919">
        <f>+'7.  Persistence Report'!BF222</f>
        <v>0</v>
      </c>
      <c r="M764" s="919">
        <f>+'7.  Persistence Report'!BG222</f>
        <v>0</v>
      </c>
      <c r="N764" s="919"/>
      <c r="O764" s="919"/>
      <c r="P764" s="919"/>
      <c r="Q764" s="919"/>
      <c r="R764" s="919"/>
      <c r="S764" s="919"/>
      <c r="T764" s="919"/>
      <c r="U764" s="919"/>
      <c r="V764" s="919"/>
      <c r="W764" s="919"/>
      <c r="X764" s="919"/>
      <c r="Y764" s="772">
        <v>1</v>
      </c>
      <c r="Z764" s="924"/>
      <c r="AA764" s="924"/>
      <c r="AB764" s="924"/>
      <c r="AC764" s="924"/>
      <c r="AD764" s="924"/>
      <c r="AE764" s="924"/>
      <c r="AF764" s="927"/>
      <c r="AG764" s="927"/>
      <c r="AH764" s="927"/>
      <c r="AI764" s="927"/>
      <c r="AJ764" s="927"/>
      <c r="AK764" s="927"/>
      <c r="AL764" s="927"/>
      <c r="AM764" s="920">
        <f>SUM(Y764:AL764)</f>
        <v>1</v>
      </c>
    </row>
    <row r="765" spans="1:39" s="930" customFormat="1" outlineLevel="1">
      <c r="A765" s="933"/>
      <c r="B765" s="918"/>
      <c r="C765" s="758" t="s">
        <v>163</v>
      </c>
      <c r="D765" s="919"/>
      <c r="E765" s="919"/>
      <c r="F765" s="919"/>
      <c r="G765" s="919"/>
      <c r="H765" s="919"/>
      <c r="I765" s="919"/>
      <c r="J765" s="919"/>
      <c r="K765" s="919"/>
      <c r="L765" s="919"/>
      <c r="M765" s="919"/>
      <c r="N765" s="919"/>
      <c r="O765" s="919"/>
      <c r="P765" s="919"/>
      <c r="Q765" s="919"/>
      <c r="R765" s="919"/>
      <c r="S765" s="919"/>
      <c r="T765" s="919"/>
      <c r="U765" s="919"/>
      <c r="V765" s="919"/>
      <c r="W765" s="919"/>
      <c r="X765" s="919"/>
      <c r="Y765" s="925"/>
      <c r="Z765" s="925"/>
      <c r="AA765" s="925"/>
      <c r="AB765" s="925"/>
      <c r="AC765" s="925"/>
      <c r="AD765" s="925"/>
      <c r="AE765" s="925"/>
      <c r="AF765" s="925"/>
      <c r="AG765" s="925"/>
      <c r="AH765" s="925"/>
      <c r="AI765" s="925"/>
      <c r="AJ765" s="925"/>
      <c r="AK765" s="925"/>
      <c r="AL765" s="925"/>
      <c r="AM765" s="921"/>
    </row>
    <row r="766" spans="1:39" outlineLevel="1">
      <c r="A766" s="527"/>
      <c r="B766" s="294"/>
      <c r="C766" s="305"/>
      <c r="D766" s="291"/>
      <c r="E766" s="291"/>
      <c r="F766" s="291"/>
      <c r="G766" s="291"/>
      <c r="H766" s="291"/>
      <c r="I766" s="291"/>
      <c r="J766" s="291"/>
      <c r="K766" s="291"/>
      <c r="L766" s="291"/>
      <c r="M766" s="291"/>
      <c r="N766" s="291"/>
      <c r="O766" s="291"/>
      <c r="P766" s="291"/>
      <c r="Q766" s="291"/>
      <c r="R766" s="291"/>
      <c r="S766" s="291"/>
      <c r="T766" s="291"/>
      <c r="U766" s="291"/>
      <c r="V766" s="291"/>
      <c r="W766" s="291"/>
      <c r="X766" s="291"/>
      <c r="Y766" s="411"/>
      <c r="Z766" s="411"/>
      <c r="AA766" s="899"/>
      <c r="AB766" s="411"/>
      <c r="AC766" s="411"/>
      <c r="AD766" s="411"/>
      <c r="AE766" s="411"/>
      <c r="AF766" s="411"/>
      <c r="AG766" s="411"/>
      <c r="AH766" s="411"/>
      <c r="AI766" s="411"/>
      <c r="AJ766" s="411"/>
      <c r="AK766" s="411"/>
      <c r="AL766" s="411"/>
      <c r="AM766" s="306"/>
    </row>
    <row r="767" spans="1:39" ht="15.75">
      <c r="B767" s="326" t="s">
        <v>311</v>
      </c>
      <c r="C767" s="328"/>
      <c r="D767" s="328">
        <f>SUM(D604:D766)</f>
        <v>14400351.66227233</v>
      </c>
      <c r="E767" s="922"/>
      <c r="F767" s="328"/>
      <c r="G767" s="328"/>
      <c r="H767" s="328"/>
      <c r="I767" s="328"/>
      <c r="J767" s="328"/>
      <c r="K767" s="328"/>
      <c r="L767" s="328"/>
      <c r="M767" s="328"/>
      <c r="N767" s="328"/>
      <c r="O767" s="904">
        <f>SUM(O604:O766)</f>
        <v>1177.027</v>
      </c>
      <c r="P767" s="328"/>
      <c r="Q767" s="328"/>
      <c r="R767" s="328"/>
      <c r="S767" s="328"/>
      <c r="T767" s="328"/>
      <c r="U767" s="328"/>
      <c r="V767" s="328"/>
      <c r="W767" s="328"/>
      <c r="X767" s="328"/>
      <c r="Y767" s="328">
        <f>IF(Y602="kWh",SUMPRODUCT(D604:D766,Y604:Y766))</f>
        <v>4195389.6622723294</v>
      </c>
      <c r="Z767" s="328">
        <f>IF(Z602="kWh",SUMPRODUCT(D604:D766,Z604:Z766))</f>
        <v>3447996.1809999999</v>
      </c>
      <c r="AA767" s="904">
        <f>IF(AA602="kw",SUMPRODUCT(N604:N766,O604:O766,AA604:AA766),SUMPRODUCT(D604:D766,AA604:AA766))</f>
        <v>8386.754844000001</v>
      </c>
      <c r="AB767" s="328">
        <f>IF(AB602="kw",SUMPRODUCT(N604:N762,O604:O762,AB604:AB762),SUMPRODUCT(D604:D762,AB604:AB762))</f>
        <v>0</v>
      </c>
      <c r="AC767" s="328">
        <f>IF(AC602="kw",SUMPRODUCT(N604:N762,O604:O762,AC604:AC762),SUMPRODUCT(D604:D762,AC604:AC762))</f>
        <v>0</v>
      </c>
      <c r="AD767" s="328">
        <f>IF(AD602="kw",SUMPRODUCT(N604:N762,O604:O762,AD604:AD762),SUMPRODUCT(D604:D762,AD604:AD762))</f>
        <v>0</v>
      </c>
      <c r="AE767" s="328">
        <f>IF(AE602="kw",SUMPRODUCT(N604:N762,O604:O762,AE604:AE762),SUMPRODUCT(D604:D762,AE604:AE762))</f>
        <v>0</v>
      </c>
      <c r="AF767" s="328">
        <f>IF(AF602="kw",SUMPRODUCT(N604:N762,O604:O762,AF604:AF762),SUMPRODUCT(D604:D762,AF604:AF762))</f>
        <v>0</v>
      </c>
      <c r="AG767" s="328">
        <f>IF(AG602="kw",SUMPRODUCT(N604:N762,O604:O762,AG604:AG762),SUMPRODUCT(D604:D762,AG604:AG762))</f>
        <v>0</v>
      </c>
      <c r="AH767" s="328">
        <f>IF(AH602="kw",SUMPRODUCT(N604:N762,O604:O762,AH604:AH762),SUMPRODUCT(D604:D762,AH604:AH762))</f>
        <v>0</v>
      </c>
      <c r="AI767" s="328">
        <f>IF(AI602="kw",SUMPRODUCT(N604:N762,O604:O762,AI604:AI762),SUMPRODUCT(D604:D762,AI604:AI762))</f>
        <v>0</v>
      </c>
      <c r="AJ767" s="328">
        <f>IF(AJ602="kw",SUMPRODUCT(N604:N762,O604:O762,AJ604:AJ762),SUMPRODUCT(D604:D762,AJ604:AJ762))</f>
        <v>0</v>
      </c>
      <c r="AK767" s="328">
        <f>IF(AK602="kw",SUMPRODUCT(N604:N762,O604:O762,AK604:AK762),SUMPRODUCT(D604:D762,AK604:AK762))</f>
        <v>0</v>
      </c>
      <c r="AL767" s="328">
        <f>IF(AL602="kw",SUMPRODUCT(N604:N762,O604:O762,AL604:AL762),SUMPRODUCT(D604:D762,AL604:AL762))</f>
        <v>0</v>
      </c>
      <c r="AM767" s="329"/>
    </row>
    <row r="768" spans="1:39" ht="15.75">
      <c r="B768" s="390" t="s">
        <v>312</v>
      </c>
      <c r="C768" s="391"/>
      <c r="D768" s="391"/>
      <c r="E768" s="391"/>
      <c r="F768" s="391"/>
      <c r="G768" s="391"/>
      <c r="H768" s="391"/>
      <c r="I768" s="391"/>
      <c r="J768" s="391"/>
      <c r="K768" s="391"/>
      <c r="L768" s="391"/>
      <c r="M768" s="391"/>
      <c r="N768" s="391"/>
      <c r="O768" s="391"/>
      <c r="P768" s="391"/>
      <c r="Q768" s="391"/>
      <c r="R768" s="391"/>
      <c r="S768" s="391"/>
      <c r="T768" s="391"/>
      <c r="U768" s="391"/>
      <c r="V768" s="391"/>
      <c r="W768" s="391"/>
      <c r="X768" s="391"/>
      <c r="Y768" s="391">
        <f>HLOOKUP(Y404,'2. LRAMVA Threshold'!$B$42:$Q$53,10,FALSE)</f>
        <v>3348102</v>
      </c>
      <c r="Z768" s="391">
        <f>HLOOKUP(Z404,'2. LRAMVA Threshold'!$B$42:$Q$53,10,FALSE)</f>
        <v>3280740</v>
      </c>
      <c r="AA768" s="391">
        <f>HLOOKUP(AA404,'2. LRAMVA Threshold'!$B$42:$Q$53,10,FALSE)</f>
        <v>31326</v>
      </c>
      <c r="AB768" s="391">
        <f>HLOOKUP(AB404,'2. LRAMVA Threshold'!$B$42:$Q$53,10,FALSE)</f>
        <v>0</v>
      </c>
      <c r="AC768" s="391">
        <f>HLOOKUP(AC404,'2. LRAMVA Threshold'!$B$42:$Q$53,10,FALSE)</f>
        <v>0</v>
      </c>
      <c r="AD768" s="391">
        <f>HLOOKUP(AD404,'2. LRAMVA Threshold'!$B$42:$Q$53,10,FALSE)</f>
        <v>0</v>
      </c>
      <c r="AE768" s="391">
        <f>HLOOKUP(AE404,'2. LRAMVA Threshold'!$B$42:$Q$53,10,FALSE)</f>
        <v>0</v>
      </c>
      <c r="AF768" s="391">
        <f>HLOOKUP(AF404,'2. LRAMVA Threshold'!$B$42:$Q$53,10,FALSE)</f>
        <v>0</v>
      </c>
      <c r="AG768" s="391">
        <f>HLOOKUP(AG404,'2. LRAMVA Threshold'!$B$42:$Q$53,10,FALSE)</f>
        <v>0</v>
      </c>
      <c r="AH768" s="391">
        <f>HLOOKUP(AH404,'2. LRAMVA Threshold'!$B$42:$Q$53,10,FALSE)</f>
        <v>0</v>
      </c>
      <c r="AI768" s="391">
        <f>HLOOKUP(AI404,'2. LRAMVA Threshold'!$B$42:$Q$53,10,FALSE)</f>
        <v>0</v>
      </c>
      <c r="AJ768" s="391">
        <f>HLOOKUP(AJ404,'2. LRAMVA Threshold'!$B$42:$Q$53,10,FALSE)</f>
        <v>0</v>
      </c>
      <c r="AK768" s="391">
        <f>HLOOKUP(AK404,'2. LRAMVA Threshold'!$B$42:$Q$53,10,FALSE)</f>
        <v>0</v>
      </c>
      <c r="AL768" s="391">
        <f>HLOOKUP(AL404,'2. LRAMVA Threshold'!$B$42:$Q$53,10,FALSE)</f>
        <v>0</v>
      </c>
      <c r="AM768" s="439"/>
    </row>
    <row r="769" spans="2:40">
      <c r="B769" s="393"/>
      <c r="C769" s="429"/>
      <c r="D769" s="430"/>
      <c r="E769" s="430"/>
      <c r="F769" s="430"/>
      <c r="G769" s="430"/>
      <c r="H769" s="430"/>
      <c r="I769" s="430"/>
      <c r="J769" s="430"/>
      <c r="K769" s="430"/>
      <c r="L769" s="430"/>
      <c r="M769" s="430"/>
      <c r="N769" s="430"/>
      <c r="O769" s="431"/>
      <c r="P769" s="430"/>
      <c r="Q769" s="430"/>
      <c r="R769" s="430"/>
      <c r="S769" s="432"/>
      <c r="T769" s="432"/>
      <c r="U769" s="432"/>
      <c r="V769" s="432"/>
      <c r="W769" s="430"/>
      <c r="X769" s="430"/>
      <c r="Y769" s="433"/>
      <c r="Z769" s="433"/>
      <c r="AA769" s="433"/>
      <c r="AB769" s="433"/>
      <c r="AC769" s="433"/>
      <c r="AD769" s="433"/>
      <c r="AE769" s="433"/>
      <c r="AF769" s="398"/>
      <c r="AG769" s="398"/>
      <c r="AH769" s="398"/>
      <c r="AI769" s="398"/>
      <c r="AJ769" s="398"/>
      <c r="AK769" s="398"/>
      <c r="AL769" s="398"/>
      <c r="AM769" s="399"/>
    </row>
    <row r="770" spans="2:40">
      <c r="B770" s="323" t="s">
        <v>313</v>
      </c>
      <c r="C770" s="337"/>
      <c r="D770" s="337"/>
      <c r="E770" s="375"/>
      <c r="F770" s="375"/>
      <c r="G770" s="375"/>
      <c r="H770" s="375"/>
      <c r="I770" s="375"/>
      <c r="J770" s="375"/>
      <c r="K770" s="375"/>
      <c r="L770" s="375"/>
      <c r="M770" s="375"/>
      <c r="N770" s="375"/>
      <c r="O770" s="291"/>
      <c r="P770" s="339"/>
      <c r="Q770" s="339"/>
      <c r="R770" s="339"/>
      <c r="S770" s="338"/>
      <c r="T770" s="338"/>
      <c r="U770" s="338"/>
      <c r="V770" s="338"/>
      <c r="W770" s="339"/>
      <c r="X770" s="339"/>
      <c r="Y770" s="340">
        <f>HLOOKUP(Y$35,'3.  Distribution Rates'!$C$122:$P$133,10,FALSE)</f>
        <v>4.1999999999999997E-3</v>
      </c>
      <c r="Z770" s="340">
        <f>HLOOKUP(Z$35,'3.  Distribution Rates'!$C$122:$P$133,10,FALSE)</f>
        <v>1.3100000000000001E-2</v>
      </c>
      <c r="AA770" s="340">
        <f>HLOOKUP(AA$35,'3.  Distribution Rates'!$C$122:$P$133,10,FALSE)</f>
        <v>4.7003000000000004</v>
      </c>
      <c r="AB770" s="340">
        <f>HLOOKUP(AB$35,'3.  Distribution Rates'!$C$122:$P$133,10,FALSE)</f>
        <v>4.9462999999999999</v>
      </c>
      <c r="AC770" s="340">
        <f>HLOOKUP(AC$35,'3.  Distribution Rates'!$C$122:$P$133,10,FALSE)</f>
        <v>0</v>
      </c>
      <c r="AD770" s="340">
        <f>HLOOKUP(AD$35,'3.  Distribution Rates'!$C$122:$P$133,10,FALSE)</f>
        <v>0</v>
      </c>
      <c r="AE770" s="340">
        <f>HLOOKUP(AE$35,'3.  Distribution Rates'!$C$122:$P$133,10,FALSE)</f>
        <v>0</v>
      </c>
      <c r="AF770" s="340">
        <f>HLOOKUP(AF$35,'3.  Distribution Rates'!$C$122:$P$133,10,FALSE)</f>
        <v>0</v>
      </c>
      <c r="AG770" s="340">
        <f>HLOOKUP(AG$35,'3.  Distribution Rates'!$C$122:$P$133,10,FALSE)</f>
        <v>0</v>
      </c>
      <c r="AH770" s="340">
        <f>HLOOKUP(AH$35,'3.  Distribution Rates'!$C$122:$P$133,10,FALSE)</f>
        <v>0</v>
      </c>
      <c r="AI770" s="340">
        <f>HLOOKUP(AI$35,'3.  Distribution Rates'!$C$122:$P$133,10,FALSE)</f>
        <v>0</v>
      </c>
      <c r="AJ770" s="340">
        <f>HLOOKUP(AJ$35,'3.  Distribution Rates'!$C$122:$P$133,10,FALSE)</f>
        <v>0</v>
      </c>
      <c r="AK770" s="340">
        <f>HLOOKUP(AK$35,'3.  Distribution Rates'!$C$122:$P$133,10,FALSE)</f>
        <v>0</v>
      </c>
      <c r="AL770" s="340">
        <f>HLOOKUP(AL$35,'3.  Distribution Rates'!$C$122:$P$133,10,FALSE)</f>
        <v>0</v>
      </c>
      <c r="AM770" s="347"/>
      <c r="AN770" s="440"/>
    </row>
    <row r="771" spans="2:40">
      <c r="B771" s="323" t="s">
        <v>314</v>
      </c>
      <c r="C771" s="344"/>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790"/>
      <c r="Z771" s="790"/>
      <c r="AA771" s="790"/>
      <c r="AB771" s="377">
        <f>'4.  2011-2014 LRAM'!AB141*AB770</f>
        <v>0</v>
      </c>
      <c r="AC771" s="377">
        <f>'4.  2011-2014 LRAM'!AC141*AC770</f>
        <v>0</v>
      </c>
      <c r="AD771" s="377">
        <f>'4.  2011-2014 LRAM'!AD141*AD770</f>
        <v>0</v>
      </c>
      <c r="AE771" s="377">
        <f>'4.  2011-2014 LRAM'!AE141*AE770</f>
        <v>0</v>
      </c>
      <c r="AF771" s="377">
        <f>'4.  2011-2014 LRAM'!AF141*AF770</f>
        <v>0</v>
      </c>
      <c r="AG771" s="377">
        <f>'4.  2011-2014 LRAM'!AG141*AG770</f>
        <v>0</v>
      </c>
      <c r="AH771" s="377">
        <f>'4.  2011-2014 LRAM'!AH141*AH770</f>
        <v>0</v>
      </c>
      <c r="AI771" s="377">
        <f>'4.  2011-2014 LRAM'!AI141*AI770</f>
        <v>0</v>
      </c>
      <c r="AJ771" s="377">
        <f>'4.  2011-2014 LRAM'!AJ141*AJ770</f>
        <v>0</v>
      </c>
      <c r="AK771" s="377">
        <f>'4.  2011-2014 LRAM'!AK141*AK770</f>
        <v>0</v>
      </c>
      <c r="AL771" s="377">
        <f>'4.  2011-2014 LRAM'!AL141*AL770</f>
        <v>0</v>
      </c>
      <c r="AM771" s="624">
        <f t="shared" ref="AM771:AM778" si="2280">SUM(Y771:AL771)</f>
        <v>0</v>
      </c>
      <c r="AN771" s="440"/>
    </row>
    <row r="772" spans="2:40">
      <c r="B772" s="323" t="s">
        <v>315</v>
      </c>
      <c r="C772" s="344"/>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790"/>
      <c r="Z772" s="790"/>
      <c r="AA772" s="790"/>
      <c r="AB772" s="377">
        <f>'4.  2011-2014 LRAM'!AB270*AB770</f>
        <v>0</v>
      </c>
      <c r="AC772" s="377">
        <f>'4.  2011-2014 LRAM'!AC270*AC770</f>
        <v>0</v>
      </c>
      <c r="AD772" s="377">
        <f>'4.  2011-2014 LRAM'!AD270*AD770</f>
        <v>0</v>
      </c>
      <c r="AE772" s="377">
        <f>'4.  2011-2014 LRAM'!AE270*AE770</f>
        <v>0</v>
      </c>
      <c r="AF772" s="377">
        <f>'4.  2011-2014 LRAM'!AF270*AF770</f>
        <v>0</v>
      </c>
      <c r="AG772" s="377">
        <f>'4.  2011-2014 LRAM'!AG270*AG770</f>
        <v>0</v>
      </c>
      <c r="AH772" s="377">
        <f>'4.  2011-2014 LRAM'!AH270*AH770</f>
        <v>0</v>
      </c>
      <c r="AI772" s="377">
        <f>'4.  2011-2014 LRAM'!AI270*AI770</f>
        <v>0</v>
      </c>
      <c r="AJ772" s="377">
        <f>'4.  2011-2014 LRAM'!AJ270*AJ770</f>
        <v>0</v>
      </c>
      <c r="AK772" s="377">
        <f>'4.  2011-2014 LRAM'!AK270*AK770</f>
        <v>0</v>
      </c>
      <c r="AL772" s="377">
        <f>'4.  2011-2014 LRAM'!AL270*AL770</f>
        <v>0</v>
      </c>
      <c r="AM772" s="624">
        <f t="shared" si="2280"/>
        <v>0</v>
      </c>
      <c r="AN772" s="440"/>
    </row>
    <row r="773" spans="2:40">
      <c r="B773" s="323" t="s">
        <v>316</v>
      </c>
      <c r="C773" s="344"/>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7">
        <f>'4.  2011-2014 LRAM'!Y399*Y770</f>
        <v>5704.1309161978543</v>
      </c>
      <c r="Z773" s="377">
        <f>'4.  2011-2014 LRAM'!Z399*Z770</f>
        <v>14379.73352487139</v>
      </c>
      <c r="AA773" s="377">
        <f>'4.  2011-2014 LRAM'!AA399*AA770</f>
        <v>55187.727792627411</v>
      </c>
      <c r="AB773" s="377">
        <f>'4.  2011-2014 LRAM'!AB399*AB770</f>
        <v>0</v>
      </c>
      <c r="AC773" s="377">
        <f>'4.  2011-2014 LRAM'!AC399*AC770</f>
        <v>0</v>
      </c>
      <c r="AD773" s="377">
        <f>'4.  2011-2014 LRAM'!AD399*AD770</f>
        <v>0</v>
      </c>
      <c r="AE773" s="377">
        <f>'4.  2011-2014 LRAM'!AE399*AE770</f>
        <v>0</v>
      </c>
      <c r="AF773" s="377">
        <f>'4.  2011-2014 LRAM'!AF399*AF770</f>
        <v>0</v>
      </c>
      <c r="AG773" s="377">
        <f>'4.  2011-2014 LRAM'!AG399*AG770</f>
        <v>0</v>
      </c>
      <c r="AH773" s="377">
        <f>'4.  2011-2014 LRAM'!AH399*AH770</f>
        <v>0</v>
      </c>
      <c r="AI773" s="377">
        <f>'4.  2011-2014 LRAM'!AI399*AI770</f>
        <v>0</v>
      </c>
      <c r="AJ773" s="377">
        <f>'4.  2011-2014 LRAM'!AJ399*AJ770</f>
        <v>0</v>
      </c>
      <c r="AK773" s="377">
        <f>'4.  2011-2014 LRAM'!AK399*AK770</f>
        <v>0</v>
      </c>
      <c r="AL773" s="377">
        <f>'4.  2011-2014 LRAM'!AL399*AL770</f>
        <v>0</v>
      </c>
      <c r="AM773" s="624">
        <f t="shared" si="2280"/>
        <v>75271.592233696661</v>
      </c>
      <c r="AN773" s="440"/>
    </row>
    <row r="774" spans="2:40">
      <c r="B774" s="323" t="s">
        <v>317</v>
      </c>
      <c r="C774" s="344"/>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7">
        <f>'4.  2011-2014 LRAM'!Y529*Y770</f>
        <v>14630.366621930194</v>
      </c>
      <c r="Z774" s="377">
        <f>'4.  2011-2014 LRAM'!Z529*Z770</f>
        <v>11188.447272779702</v>
      </c>
      <c r="AA774" s="377">
        <f>'4.  2011-2014 LRAM'!AA529*AA770</f>
        <v>46186.133635819358</v>
      </c>
      <c r="AB774" s="377">
        <f>'4.  2011-2014 LRAM'!AB529*AB770</f>
        <v>0</v>
      </c>
      <c r="AC774" s="377">
        <f>'4.  2011-2014 LRAM'!AC529*AC770</f>
        <v>0</v>
      </c>
      <c r="AD774" s="377">
        <f>'4.  2011-2014 LRAM'!AD529*AD770</f>
        <v>0</v>
      </c>
      <c r="AE774" s="377">
        <f>'4.  2011-2014 LRAM'!AE529*AE770</f>
        <v>0</v>
      </c>
      <c r="AF774" s="377">
        <f>'4.  2011-2014 LRAM'!AF529*AF770</f>
        <v>0</v>
      </c>
      <c r="AG774" s="377">
        <f>'4.  2011-2014 LRAM'!AG529*AG770</f>
        <v>0</v>
      </c>
      <c r="AH774" s="377">
        <f>'4.  2011-2014 LRAM'!AH529*AH770</f>
        <v>0</v>
      </c>
      <c r="AI774" s="377">
        <f>'4.  2011-2014 LRAM'!AI529*AI770</f>
        <v>0</v>
      </c>
      <c r="AJ774" s="377">
        <f>'4.  2011-2014 LRAM'!AJ529*AJ770</f>
        <v>0</v>
      </c>
      <c r="AK774" s="377">
        <f>'4.  2011-2014 LRAM'!AK529*AK770</f>
        <v>0</v>
      </c>
      <c r="AL774" s="377">
        <f>'4.  2011-2014 LRAM'!AL529*AL770</f>
        <v>0</v>
      </c>
      <c r="AM774" s="624">
        <f t="shared" si="2280"/>
        <v>72004.947530529258</v>
      </c>
      <c r="AN774" s="440"/>
    </row>
    <row r="775" spans="2:40">
      <c r="B775" s="323" t="s">
        <v>318</v>
      </c>
      <c r="C775" s="344"/>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7">
        <f t="shared" ref="Y775:AL775" si="2281">Y210*Y770</f>
        <v>17344.681452000001</v>
      </c>
      <c r="Z775" s="377">
        <f t="shared" si="2281"/>
        <v>49043.591622</v>
      </c>
      <c r="AA775" s="377">
        <f t="shared" si="2281"/>
        <v>174873.72143999999</v>
      </c>
      <c r="AB775" s="377">
        <f t="shared" si="2281"/>
        <v>0</v>
      </c>
      <c r="AC775" s="377">
        <f t="shared" si="2281"/>
        <v>0</v>
      </c>
      <c r="AD775" s="377">
        <f t="shared" si="2281"/>
        <v>0</v>
      </c>
      <c r="AE775" s="377">
        <f t="shared" si="2281"/>
        <v>0</v>
      </c>
      <c r="AF775" s="377">
        <f t="shared" si="2281"/>
        <v>0</v>
      </c>
      <c r="AG775" s="377">
        <f t="shared" si="2281"/>
        <v>0</v>
      </c>
      <c r="AH775" s="377">
        <f t="shared" si="2281"/>
        <v>0</v>
      </c>
      <c r="AI775" s="377">
        <f t="shared" si="2281"/>
        <v>0</v>
      </c>
      <c r="AJ775" s="377">
        <f t="shared" si="2281"/>
        <v>0</v>
      </c>
      <c r="AK775" s="377">
        <f t="shared" si="2281"/>
        <v>0</v>
      </c>
      <c r="AL775" s="377">
        <f t="shared" si="2281"/>
        <v>0</v>
      </c>
      <c r="AM775" s="624">
        <f t="shared" si="2280"/>
        <v>241261.99451399999</v>
      </c>
      <c r="AN775" s="440"/>
    </row>
    <row r="776" spans="2:40">
      <c r="B776" s="323" t="s">
        <v>319</v>
      </c>
      <c r="C776" s="344"/>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7">
        <f t="shared" ref="Y776:AL776" si="2282">Y396*Y770</f>
        <v>39269.852999999996</v>
      </c>
      <c r="Z776" s="377">
        <f t="shared" si="2282"/>
        <v>20483.505839999998</v>
      </c>
      <c r="AA776" s="377">
        <f t="shared" si="2282"/>
        <v>138432.48355199999</v>
      </c>
      <c r="AB776" s="377">
        <f t="shared" si="2282"/>
        <v>0</v>
      </c>
      <c r="AC776" s="377">
        <f t="shared" si="2282"/>
        <v>0</v>
      </c>
      <c r="AD776" s="377">
        <f t="shared" si="2282"/>
        <v>0</v>
      </c>
      <c r="AE776" s="377">
        <f t="shared" si="2282"/>
        <v>0</v>
      </c>
      <c r="AF776" s="377">
        <f t="shared" si="2282"/>
        <v>0</v>
      </c>
      <c r="AG776" s="377">
        <f t="shared" si="2282"/>
        <v>0</v>
      </c>
      <c r="AH776" s="377">
        <f t="shared" si="2282"/>
        <v>0</v>
      </c>
      <c r="AI776" s="377">
        <f t="shared" si="2282"/>
        <v>0</v>
      </c>
      <c r="AJ776" s="377">
        <f t="shared" si="2282"/>
        <v>0</v>
      </c>
      <c r="AK776" s="377">
        <f t="shared" si="2282"/>
        <v>0</v>
      </c>
      <c r="AL776" s="377">
        <f t="shared" si="2282"/>
        <v>0</v>
      </c>
      <c r="AM776" s="624">
        <f t="shared" si="2280"/>
        <v>198185.84239199999</v>
      </c>
      <c r="AN776" s="440"/>
    </row>
    <row r="777" spans="2:40">
      <c r="B777" s="323" t="s">
        <v>320</v>
      </c>
      <c r="C777" s="344"/>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7">
        <f t="shared" ref="Y777:AL777" si="2283">Y593*Y770</f>
        <v>54200.031748799993</v>
      </c>
      <c r="Z777" s="377">
        <f t="shared" si="2283"/>
        <v>26660.523210594572</v>
      </c>
      <c r="AA777" s="903">
        <f t="shared" si="2283"/>
        <v>165764.14521480002</v>
      </c>
      <c r="AB777" s="377">
        <f t="shared" si="2283"/>
        <v>108200.10774296518</v>
      </c>
      <c r="AC777" s="377">
        <f t="shared" si="2283"/>
        <v>0</v>
      </c>
      <c r="AD777" s="377">
        <f t="shared" si="2283"/>
        <v>0</v>
      </c>
      <c r="AE777" s="377">
        <f t="shared" si="2283"/>
        <v>0</v>
      </c>
      <c r="AF777" s="377">
        <f t="shared" si="2283"/>
        <v>0</v>
      </c>
      <c r="AG777" s="377">
        <f t="shared" si="2283"/>
        <v>0</v>
      </c>
      <c r="AH777" s="377">
        <f t="shared" si="2283"/>
        <v>0</v>
      </c>
      <c r="AI777" s="377">
        <f t="shared" si="2283"/>
        <v>0</v>
      </c>
      <c r="AJ777" s="377">
        <f t="shared" si="2283"/>
        <v>0</v>
      </c>
      <c r="AK777" s="377">
        <f t="shared" si="2283"/>
        <v>0</v>
      </c>
      <c r="AL777" s="377">
        <f t="shared" si="2283"/>
        <v>0</v>
      </c>
      <c r="AM777" s="624">
        <f t="shared" si="2280"/>
        <v>354824.80791715975</v>
      </c>
      <c r="AN777" s="440"/>
    </row>
    <row r="778" spans="2:40">
      <c r="B778" s="323" t="s">
        <v>321</v>
      </c>
      <c r="C778" s="344"/>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7">
        <f>Y767*Y770</f>
        <v>17620.636581543782</v>
      </c>
      <c r="Z778" s="377">
        <f t="shared" ref="Z778:AL778" si="2284">Z767*Z770</f>
        <v>45168.749971099998</v>
      </c>
      <c r="AA778" s="377">
        <f t="shared" si="2284"/>
        <v>39420.263793253209</v>
      </c>
      <c r="AB778" s="377">
        <f t="shared" si="2284"/>
        <v>0</v>
      </c>
      <c r="AC778" s="377">
        <f t="shared" si="2284"/>
        <v>0</v>
      </c>
      <c r="AD778" s="377">
        <f t="shared" si="2284"/>
        <v>0</v>
      </c>
      <c r="AE778" s="377">
        <f t="shared" si="2284"/>
        <v>0</v>
      </c>
      <c r="AF778" s="377">
        <f t="shared" si="2284"/>
        <v>0</v>
      </c>
      <c r="AG778" s="377">
        <f t="shared" si="2284"/>
        <v>0</v>
      </c>
      <c r="AH778" s="377">
        <f t="shared" si="2284"/>
        <v>0</v>
      </c>
      <c r="AI778" s="377">
        <f t="shared" si="2284"/>
        <v>0</v>
      </c>
      <c r="AJ778" s="377">
        <f t="shared" si="2284"/>
        <v>0</v>
      </c>
      <c r="AK778" s="377">
        <f t="shared" si="2284"/>
        <v>0</v>
      </c>
      <c r="AL778" s="377">
        <f t="shared" si="2284"/>
        <v>0</v>
      </c>
      <c r="AM778" s="624">
        <f t="shared" si="2280"/>
        <v>102209.65034589698</v>
      </c>
      <c r="AN778" s="440"/>
    </row>
    <row r="779" spans="2:40" ht="15.75">
      <c r="B779" s="348" t="s">
        <v>322</v>
      </c>
      <c r="C779" s="344"/>
      <c r="D779" s="335"/>
      <c r="E779" s="333"/>
      <c r="F779" s="333"/>
      <c r="G779" s="333"/>
      <c r="H779" s="333"/>
      <c r="I779" s="333"/>
      <c r="J779" s="333"/>
      <c r="K779" s="333"/>
      <c r="L779" s="333"/>
      <c r="M779" s="333"/>
      <c r="N779" s="333"/>
      <c r="O779" s="300"/>
      <c r="P779" s="333"/>
      <c r="Q779" s="333"/>
      <c r="R779" s="333"/>
      <c r="S779" s="335"/>
      <c r="T779" s="335"/>
      <c r="U779" s="335"/>
      <c r="V779" s="335"/>
      <c r="W779" s="333"/>
      <c r="X779" s="333"/>
      <c r="Y779" s="345">
        <f>SUM(Y771:Y778)</f>
        <v>148769.70032047181</v>
      </c>
      <c r="Z779" s="345">
        <f>SUM(Z771:Z778)</f>
        <v>166924.55144134565</v>
      </c>
      <c r="AA779" s="345">
        <f t="shared" ref="AA779:AE779" si="2285">SUM(AA771:AA778)</f>
        <v>619864.47542849998</v>
      </c>
      <c r="AB779" s="345">
        <f t="shared" si="2285"/>
        <v>108200.10774296518</v>
      </c>
      <c r="AC779" s="345">
        <f t="shared" si="2285"/>
        <v>0</v>
      </c>
      <c r="AD779" s="345">
        <f t="shared" si="2285"/>
        <v>0</v>
      </c>
      <c r="AE779" s="345">
        <f t="shared" si="2285"/>
        <v>0</v>
      </c>
      <c r="AF779" s="345">
        <f t="shared" ref="AF779:AL779" si="2286">SUM(AF771:AF778)</f>
        <v>0</v>
      </c>
      <c r="AG779" s="345">
        <f t="shared" si="2286"/>
        <v>0</v>
      </c>
      <c r="AH779" s="345">
        <f t="shared" si="2286"/>
        <v>0</v>
      </c>
      <c r="AI779" s="345">
        <f t="shared" si="2286"/>
        <v>0</v>
      </c>
      <c r="AJ779" s="345">
        <f t="shared" si="2286"/>
        <v>0</v>
      </c>
      <c r="AK779" s="345">
        <f t="shared" si="2286"/>
        <v>0</v>
      </c>
      <c r="AL779" s="345">
        <f t="shared" si="2286"/>
        <v>0</v>
      </c>
      <c r="AM779" s="406">
        <f>SUM(AM771:AM778)</f>
        <v>1043758.8349332826</v>
      </c>
      <c r="AN779" s="440"/>
    </row>
    <row r="780" spans="2:40" ht="15.75">
      <c r="B780" s="348" t="s">
        <v>323</v>
      </c>
      <c r="C780" s="344"/>
      <c r="D780" s="349"/>
      <c r="E780" s="333"/>
      <c r="F780" s="333"/>
      <c r="G780" s="333"/>
      <c r="H780" s="333"/>
      <c r="I780" s="333"/>
      <c r="J780" s="333"/>
      <c r="K780" s="333"/>
      <c r="L780" s="333"/>
      <c r="M780" s="333"/>
      <c r="N780" s="333"/>
      <c r="O780" s="300"/>
      <c r="P780" s="333"/>
      <c r="Q780" s="333"/>
      <c r="R780" s="333"/>
      <c r="S780" s="335"/>
      <c r="T780" s="335"/>
      <c r="U780" s="335"/>
      <c r="V780" s="335"/>
      <c r="W780" s="333"/>
      <c r="X780" s="333"/>
      <c r="Y780" s="346">
        <f>Y768*Y770</f>
        <v>14062.028399999999</v>
      </c>
      <c r="Z780" s="346">
        <f t="shared" ref="Z780:AE780" si="2287">Z768*Z770</f>
        <v>42977.694000000003</v>
      </c>
      <c r="AA780" s="346">
        <f t="shared" si="2287"/>
        <v>147241.59780000002</v>
      </c>
      <c r="AB780" s="346">
        <f t="shared" si="2287"/>
        <v>0</v>
      </c>
      <c r="AC780" s="346">
        <f t="shared" si="2287"/>
        <v>0</v>
      </c>
      <c r="AD780" s="346">
        <f t="shared" si="2287"/>
        <v>0</v>
      </c>
      <c r="AE780" s="346">
        <f t="shared" si="2287"/>
        <v>0</v>
      </c>
      <c r="AF780" s="346">
        <f t="shared" ref="AF780:AL780" si="2288">AF768*AF770</f>
        <v>0</v>
      </c>
      <c r="AG780" s="346">
        <f t="shared" si="2288"/>
        <v>0</v>
      </c>
      <c r="AH780" s="346">
        <f t="shared" si="2288"/>
        <v>0</v>
      </c>
      <c r="AI780" s="346">
        <f t="shared" si="2288"/>
        <v>0</v>
      </c>
      <c r="AJ780" s="346">
        <f t="shared" si="2288"/>
        <v>0</v>
      </c>
      <c r="AK780" s="346">
        <f t="shared" si="2288"/>
        <v>0</v>
      </c>
      <c r="AL780" s="346">
        <f t="shared" si="2288"/>
        <v>0</v>
      </c>
      <c r="AM780" s="406">
        <f>SUM(Y780:AL780)</f>
        <v>204281.32020000002</v>
      </c>
      <c r="AN780" s="440"/>
    </row>
    <row r="781" spans="2:40" ht="15.75">
      <c r="B781" s="348" t="s">
        <v>324</v>
      </c>
      <c r="C781" s="344"/>
      <c r="D781" s="349"/>
      <c r="E781" s="333"/>
      <c r="F781" s="333"/>
      <c r="G781" s="333"/>
      <c r="H781" s="333"/>
      <c r="I781" s="333"/>
      <c r="J781" s="333"/>
      <c r="K781" s="333"/>
      <c r="L781" s="333"/>
      <c r="M781" s="333"/>
      <c r="N781" s="333"/>
      <c r="O781" s="300"/>
      <c r="P781" s="333"/>
      <c r="Q781" s="333"/>
      <c r="R781" s="333"/>
      <c r="S781" s="349"/>
      <c r="T781" s="349"/>
      <c r="U781" s="349"/>
      <c r="V781" s="349"/>
      <c r="W781" s="333"/>
      <c r="X781" s="333"/>
      <c r="Y781" s="350"/>
      <c r="Z781" s="350"/>
      <c r="AA781" s="350"/>
      <c r="AB781" s="350"/>
      <c r="AC781" s="350"/>
      <c r="AD781" s="350"/>
      <c r="AE781" s="350"/>
      <c r="AF781" s="350"/>
      <c r="AG781" s="350"/>
      <c r="AH781" s="350"/>
      <c r="AI781" s="350"/>
      <c r="AJ781" s="350"/>
      <c r="AK781" s="350"/>
      <c r="AL781" s="350"/>
      <c r="AM781" s="406">
        <f>AM779-AM780</f>
        <v>839477.51473328262</v>
      </c>
      <c r="AN781" s="440"/>
    </row>
    <row r="782" spans="2:40">
      <c r="B782" s="323"/>
      <c r="C782" s="349"/>
      <c r="D782" s="349"/>
      <c r="E782" s="333"/>
      <c r="F782" s="333"/>
      <c r="G782" s="333"/>
      <c r="H782" s="333"/>
      <c r="I782" s="333"/>
      <c r="J782" s="333"/>
      <c r="K782" s="333"/>
      <c r="L782" s="333"/>
      <c r="M782" s="333"/>
      <c r="N782" s="333"/>
      <c r="O782" s="300"/>
      <c r="P782" s="333"/>
      <c r="Q782" s="333"/>
      <c r="R782" s="333"/>
      <c r="S782" s="349"/>
      <c r="T782" s="344"/>
      <c r="U782" s="349"/>
      <c r="V782" s="349"/>
      <c r="W782" s="333"/>
      <c r="X782" s="333"/>
      <c r="Y782" s="351"/>
      <c r="Z782" s="351"/>
      <c r="AA782" s="351"/>
      <c r="AB782" s="351"/>
      <c r="AC782" s="351"/>
      <c r="AD782" s="351"/>
      <c r="AE782" s="351"/>
      <c r="AF782" s="351"/>
      <c r="AG782" s="351"/>
      <c r="AH782" s="351"/>
      <c r="AI782" s="351"/>
      <c r="AJ782" s="351"/>
      <c r="AK782" s="351"/>
      <c r="AL782" s="351"/>
      <c r="AM782" s="347"/>
      <c r="AN782" s="440"/>
    </row>
    <row r="783" spans="2:40">
      <c r="B783" s="436" t="s">
        <v>325</v>
      </c>
      <c r="C783" s="304"/>
      <c r="D783" s="279"/>
      <c r="E783" s="279"/>
      <c r="F783" s="279"/>
      <c r="G783" s="279"/>
      <c r="H783" s="279"/>
      <c r="I783" s="279"/>
      <c r="J783" s="279"/>
      <c r="K783" s="279"/>
      <c r="L783" s="279"/>
      <c r="M783" s="279"/>
      <c r="N783" s="279"/>
      <c r="O783" s="356"/>
      <c r="P783" s="279"/>
      <c r="Q783" s="279"/>
      <c r="R783" s="279"/>
      <c r="S783" s="304"/>
      <c r="T783" s="309"/>
      <c r="U783" s="309"/>
      <c r="V783" s="279"/>
      <c r="W783" s="279"/>
      <c r="X783" s="309"/>
      <c r="Y783" s="291">
        <f>SUMPRODUCT(E604:E762,Y604:Y762)</f>
        <v>3889866.8024602993</v>
      </c>
      <c r="Z783" s="291">
        <f>SUMPRODUCT(E604:E762,Z604:Z762)</f>
        <v>3203050.7910000002</v>
      </c>
      <c r="AA783" s="291">
        <f t="shared" ref="AA783:AL783" si="2289">IF(AA602="kw",SUMPRODUCT($N$604:$N$762,$P$604:$P$762,AA604:AA762),SUMPRODUCT($E$604:$E$762,AA604:AA762))</f>
        <v>8386.754844000001</v>
      </c>
      <c r="AB783" s="291">
        <f t="shared" si="2289"/>
        <v>0</v>
      </c>
      <c r="AC783" s="291">
        <f t="shared" si="2289"/>
        <v>0</v>
      </c>
      <c r="AD783" s="291">
        <f t="shared" si="2289"/>
        <v>0</v>
      </c>
      <c r="AE783" s="291">
        <f t="shared" si="2289"/>
        <v>0</v>
      </c>
      <c r="AF783" s="291">
        <f t="shared" si="2289"/>
        <v>0</v>
      </c>
      <c r="AG783" s="291">
        <f t="shared" si="2289"/>
        <v>0</v>
      </c>
      <c r="AH783" s="291">
        <f t="shared" si="2289"/>
        <v>0</v>
      </c>
      <c r="AI783" s="291">
        <f t="shared" si="2289"/>
        <v>0</v>
      </c>
      <c r="AJ783" s="291">
        <f t="shared" si="2289"/>
        <v>0</v>
      </c>
      <c r="AK783" s="291">
        <f t="shared" si="2289"/>
        <v>0</v>
      </c>
      <c r="AL783" s="291">
        <f t="shared" si="2289"/>
        <v>0</v>
      </c>
      <c r="AM783" s="336"/>
    </row>
    <row r="784" spans="2:40">
      <c r="B784" s="437" t="s">
        <v>326</v>
      </c>
      <c r="C784" s="363"/>
      <c r="D784" s="383"/>
      <c r="E784" s="383"/>
      <c r="F784" s="383"/>
      <c r="G784" s="383"/>
      <c r="H784" s="383"/>
      <c r="I784" s="383"/>
      <c r="J784" s="383"/>
      <c r="K784" s="383"/>
      <c r="L784" s="383"/>
      <c r="M784" s="383"/>
      <c r="N784" s="383"/>
      <c r="O784" s="382"/>
      <c r="P784" s="383"/>
      <c r="Q784" s="383"/>
      <c r="R784" s="383"/>
      <c r="S784" s="363"/>
      <c r="T784" s="384"/>
      <c r="U784" s="384"/>
      <c r="V784" s="383"/>
      <c r="W784" s="383"/>
      <c r="X784" s="384"/>
      <c r="Y784" s="325">
        <f>SUMPRODUCT(F604:F762,Y604:Y762)</f>
        <v>3889866.8024602993</v>
      </c>
      <c r="Z784" s="325">
        <f>SUMPRODUCT(F604:F762,Z604:Z762)</f>
        <v>3203050.7910000002</v>
      </c>
      <c r="AA784" s="325">
        <f t="shared" ref="AA784:AL784" si="2290">IF(AA602="kw",SUMPRODUCT($N$604:$N$762,$Q$604:$Q$762,AA604:AA762),SUMPRODUCT($F$604:$F$762,AA604:AA762))</f>
        <v>8386.754844000001</v>
      </c>
      <c r="AB784" s="325">
        <f t="shared" si="2290"/>
        <v>0</v>
      </c>
      <c r="AC784" s="325">
        <f t="shared" si="2290"/>
        <v>0</v>
      </c>
      <c r="AD784" s="325">
        <f t="shared" si="2290"/>
        <v>0</v>
      </c>
      <c r="AE784" s="325">
        <f t="shared" si="2290"/>
        <v>0</v>
      </c>
      <c r="AF784" s="325">
        <f t="shared" si="2290"/>
        <v>0</v>
      </c>
      <c r="AG784" s="325">
        <f t="shared" si="2290"/>
        <v>0</v>
      </c>
      <c r="AH784" s="325">
        <f t="shared" si="2290"/>
        <v>0</v>
      </c>
      <c r="AI784" s="325">
        <f t="shared" si="2290"/>
        <v>0</v>
      </c>
      <c r="AJ784" s="325">
        <f t="shared" si="2290"/>
        <v>0</v>
      </c>
      <c r="AK784" s="325">
        <f t="shared" si="2290"/>
        <v>0</v>
      </c>
      <c r="AL784" s="325">
        <f t="shared" si="2290"/>
        <v>0</v>
      </c>
      <c r="AM784" s="385"/>
    </row>
    <row r="785" spans="1:39" ht="20.25" customHeight="1">
      <c r="B785" s="367" t="s">
        <v>582</v>
      </c>
      <c r="C785" s="386"/>
      <c r="D785" s="387"/>
      <c r="E785" s="387"/>
      <c r="F785" s="387"/>
      <c r="G785" s="387"/>
      <c r="H785" s="387"/>
      <c r="I785" s="387"/>
      <c r="J785" s="387"/>
      <c r="K785" s="387"/>
      <c r="L785" s="387"/>
      <c r="M785" s="387"/>
      <c r="N785" s="387"/>
      <c r="O785" s="387"/>
      <c r="P785" s="387"/>
      <c r="Q785" s="387"/>
      <c r="R785" s="387"/>
      <c r="S785" s="370"/>
      <c r="T785" s="371"/>
      <c r="U785" s="387"/>
      <c r="V785" s="387"/>
      <c r="W785" s="387"/>
      <c r="X785" s="387"/>
      <c r="Y785" s="408"/>
      <c r="Z785" s="408"/>
      <c r="AA785" s="408"/>
      <c r="AB785" s="408"/>
      <c r="AC785" s="408"/>
      <c r="AD785" s="408"/>
      <c r="AE785" s="408"/>
      <c r="AF785" s="408"/>
      <c r="AG785" s="408"/>
      <c r="AH785" s="408"/>
      <c r="AI785" s="408"/>
      <c r="AJ785" s="408"/>
      <c r="AK785" s="408"/>
      <c r="AL785" s="408"/>
      <c r="AM785" s="388"/>
    </row>
    <row r="788" spans="1:39" ht="15.75">
      <c r="B788" s="280" t="s">
        <v>327</v>
      </c>
      <c r="C788" s="281"/>
      <c r="D788" s="585" t="s">
        <v>526</v>
      </c>
      <c r="E788" s="253"/>
      <c r="F788" s="585"/>
      <c r="G788" s="253"/>
      <c r="H788" s="253"/>
      <c r="I788" s="253"/>
      <c r="J788" s="253"/>
      <c r="K788" s="253"/>
      <c r="L788" s="253"/>
      <c r="M788" s="253"/>
      <c r="N788" s="253"/>
      <c r="O788" s="281"/>
      <c r="P788" s="253"/>
      <c r="Q788" s="253"/>
      <c r="R788" s="253"/>
      <c r="S788" s="253"/>
      <c r="T788" s="253"/>
      <c r="U788" s="253"/>
      <c r="V788" s="253"/>
      <c r="W788" s="253"/>
      <c r="X788" s="253"/>
      <c r="Y788" s="270"/>
      <c r="Z788" s="267"/>
      <c r="AA788" s="267"/>
      <c r="AB788" s="267"/>
      <c r="AC788" s="267"/>
      <c r="AD788" s="267"/>
      <c r="AE788" s="267"/>
      <c r="AF788" s="267"/>
      <c r="AG788" s="267"/>
      <c r="AH788" s="267"/>
      <c r="AI788" s="267"/>
      <c r="AJ788" s="267"/>
      <c r="AK788" s="267"/>
      <c r="AL788" s="267"/>
    </row>
    <row r="789" spans="1:39" ht="33" customHeight="1">
      <c r="B789" s="1199" t="s">
        <v>211</v>
      </c>
      <c r="C789" s="1201" t="s">
        <v>33</v>
      </c>
      <c r="D789" s="284" t="s">
        <v>422</v>
      </c>
      <c r="E789" s="1203" t="s">
        <v>209</v>
      </c>
      <c r="F789" s="1204"/>
      <c r="G789" s="1204"/>
      <c r="H789" s="1204"/>
      <c r="I789" s="1204"/>
      <c r="J789" s="1204"/>
      <c r="K789" s="1204"/>
      <c r="L789" s="1204"/>
      <c r="M789" s="1205"/>
      <c r="N789" s="1206" t="s">
        <v>213</v>
      </c>
      <c r="O789" s="284" t="s">
        <v>423</v>
      </c>
      <c r="P789" s="1203" t="s">
        <v>212</v>
      </c>
      <c r="Q789" s="1204"/>
      <c r="R789" s="1204"/>
      <c r="S789" s="1204"/>
      <c r="T789" s="1204"/>
      <c r="U789" s="1204"/>
      <c r="V789" s="1204"/>
      <c r="W789" s="1204"/>
      <c r="X789" s="1205"/>
      <c r="Y789" s="1196" t="s">
        <v>243</v>
      </c>
      <c r="Z789" s="1197"/>
      <c r="AA789" s="1197"/>
      <c r="AB789" s="1197"/>
      <c r="AC789" s="1197"/>
      <c r="AD789" s="1197"/>
      <c r="AE789" s="1197"/>
      <c r="AF789" s="1197"/>
      <c r="AG789" s="1197"/>
      <c r="AH789" s="1197"/>
      <c r="AI789" s="1197"/>
      <c r="AJ789" s="1197"/>
      <c r="AK789" s="1197"/>
      <c r="AL789" s="1197"/>
      <c r="AM789" s="1198"/>
    </row>
    <row r="790" spans="1:39" ht="65.25" customHeight="1">
      <c r="B790" s="1200"/>
      <c r="C790" s="1202"/>
      <c r="D790" s="285">
        <v>2019</v>
      </c>
      <c r="E790" s="285">
        <v>2020</v>
      </c>
      <c r="F790" s="285">
        <v>2021</v>
      </c>
      <c r="G790" s="285">
        <v>2022</v>
      </c>
      <c r="H790" s="285">
        <v>2023</v>
      </c>
      <c r="I790" s="285">
        <v>2024</v>
      </c>
      <c r="J790" s="285">
        <v>2025</v>
      </c>
      <c r="K790" s="285">
        <v>2026</v>
      </c>
      <c r="L790" s="285">
        <v>2027</v>
      </c>
      <c r="M790" s="285">
        <v>2028</v>
      </c>
      <c r="N790" s="1207"/>
      <c r="O790" s="285">
        <v>2019</v>
      </c>
      <c r="P790" s="285">
        <v>2020</v>
      </c>
      <c r="Q790" s="285">
        <v>2021</v>
      </c>
      <c r="R790" s="285">
        <v>2022</v>
      </c>
      <c r="S790" s="285">
        <v>2023</v>
      </c>
      <c r="T790" s="285">
        <v>2024</v>
      </c>
      <c r="U790" s="285">
        <v>2025</v>
      </c>
      <c r="V790" s="285">
        <v>2026</v>
      </c>
      <c r="W790" s="285">
        <v>2027</v>
      </c>
      <c r="X790" s="285">
        <v>2028</v>
      </c>
      <c r="Y790" s="285" t="str">
        <f>'1.  LRAMVA Summary'!D52</f>
        <v>Residential</v>
      </c>
      <c r="Z790" s="285" t="str">
        <f>'1.  LRAMVA Summary'!E52</f>
        <v>GS&lt;50 kW</v>
      </c>
      <c r="AA790" s="285" t="str">
        <f>'1.  LRAMVA Summary'!F52</f>
        <v>GS&gt; 50 kW</v>
      </c>
      <c r="AB790" s="285" t="str">
        <f>'1.  LRAMVA Summary'!G52</f>
        <v>Streetlighting kW</v>
      </c>
      <c r="AC790" s="285" t="str">
        <f>'1.  LRAMVA Summary'!H52</f>
        <v/>
      </c>
      <c r="AD790" s="285" t="str">
        <f>'1.  LRAMVA Summary'!I52</f>
        <v/>
      </c>
      <c r="AE790" s="285" t="str">
        <f>'1.  LRAMVA Summary'!J52</f>
        <v/>
      </c>
      <c r="AF790" s="285" t="str">
        <f>'1.  LRAMVA Summary'!K52</f>
        <v/>
      </c>
      <c r="AG790" s="285" t="str">
        <f>'1.  LRAMVA Summary'!L52</f>
        <v/>
      </c>
      <c r="AH790" s="285" t="str">
        <f>'1.  LRAMVA Summary'!M52</f>
        <v/>
      </c>
      <c r="AI790" s="285" t="str">
        <f>'1.  LRAMVA Summary'!N52</f>
        <v/>
      </c>
      <c r="AJ790" s="285" t="str">
        <f>'1.  LRAMVA Summary'!O52</f>
        <v/>
      </c>
      <c r="AK790" s="285" t="str">
        <f>'1.  LRAMVA Summary'!P52</f>
        <v/>
      </c>
      <c r="AL790" s="285" t="str">
        <f>'1.  LRAMVA Summary'!Q52</f>
        <v/>
      </c>
      <c r="AM790" s="287" t="str">
        <f>'1.  LRAMVA Summary'!R52</f>
        <v>Total</v>
      </c>
    </row>
    <row r="791" spans="1:39" ht="15.75" customHeight="1">
      <c r="A791" s="527"/>
      <c r="B791" s="513" t="s">
        <v>504</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291" t="str">
        <f>'1.  LRAMVA Summary'!D53</f>
        <v>kWh</v>
      </c>
      <c r="Z791" s="291" t="str">
        <f>'1.  LRAMVA Summary'!E53</f>
        <v>kWh</v>
      </c>
      <c r="AA791" s="291" t="str">
        <f>'1.  LRAMVA Summary'!F53</f>
        <v>kW</v>
      </c>
      <c r="AB791" s="291" t="str">
        <f>'1.  LRAMVA Summary'!G53</f>
        <v>kW</v>
      </c>
      <c r="AC791" s="291">
        <f>'1.  LRAMVA Summary'!H53</f>
        <v>0</v>
      </c>
      <c r="AD791" s="291">
        <f>'1.  LRAMVA Summary'!I53</f>
        <v>0</v>
      </c>
      <c r="AE791" s="291">
        <f>'1.  LRAMVA Summary'!J53</f>
        <v>0</v>
      </c>
      <c r="AF791" s="291">
        <f>'1.  LRAMVA Summary'!K53</f>
        <v>0</v>
      </c>
      <c r="AG791" s="291">
        <f>'1.  LRAMVA Summary'!L53</f>
        <v>0</v>
      </c>
      <c r="AH791" s="291">
        <f>'1.  LRAMVA Summary'!M53</f>
        <v>0</v>
      </c>
      <c r="AI791" s="291">
        <f>'1.  LRAMVA Summary'!N53</f>
        <v>0</v>
      </c>
      <c r="AJ791" s="291">
        <f>'1.  LRAMVA Summary'!O53</f>
        <v>0</v>
      </c>
      <c r="AK791" s="291">
        <f>'1.  LRAMVA Summary'!P53</f>
        <v>0</v>
      </c>
      <c r="AL791" s="291">
        <f>'1.  LRAMVA Summary'!Q53</f>
        <v>0</v>
      </c>
      <c r="AM791" s="292"/>
    </row>
    <row r="792" spans="1:39" ht="15.75" hidden="1" outlineLevel="1">
      <c r="A792" s="527"/>
      <c r="B792" s="499" t="s">
        <v>497</v>
      </c>
      <c r="C792" s="289"/>
      <c r="D792" s="289"/>
      <c r="E792" s="289"/>
      <c r="F792" s="289"/>
      <c r="G792" s="289"/>
      <c r="H792" s="289"/>
      <c r="I792" s="289"/>
      <c r="J792" s="289"/>
      <c r="K792" s="289"/>
      <c r="L792" s="289"/>
      <c r="M792" s="289"/>
      <c r="N792" s="290"/>
      <c r="O792" s="289"/>
      <c r="P792" s="289"/>
      <c r="Q792" s="289"/>
      <c r="R792" s="289"/>
      <c r="S792" s="289"/>
      <c r="T792" s="289"/>
      <c r="U792" s="289"/>
      <c r="V792" s="289"/>
      <c r="W792" s="289"/>
      <c r="X792" s="289"/>
      <c r="Y792" s="291"/>
      <c r="Z792" s="291"/>
      <c r="AA792" s="291"/>
      <c r="AB792" s="291"/>
      <c r="AC792" s="291"/>
      <c r="AD792" s="291"/>
      <c r="AE792" s="291"/>
      <c r="AF792" s="291"/>
      <c r="AG792" s="291"/>
      <c r="AH792" s="291"/>
      <c r="AI792" s="291"/>
      <c r="AJ792" s="291"/>
      <c r="AK792" s="291"/>
      <c r="AL792" s="291"/>
      <c r="AM792" s="292"/>
    </row>
    <row r="793" spans="1:39" hidden="1" outlineLevel="1">
      <c r="A793" s="527">
        <v>1</v>
      </c>
      <c r="B793" s="425" t="s">
        <v>95</v>
      </c>
      <c r="C793" s="291" t="s">
        <v>25</v>
      </c>
      <c r="D793" s="295"/>
      <c r="E793" s="295"/>
      <c r="F793" s="295"/>
      <c r="G793" s="295"/>
      <c r="H793" s="295"/>
      <c r="I793" s="295"/>
      <c r="J793" s="295"/>
      <c r="K793" s="295"/>
      <c r="L793" s="295"/>
      <c r="M793" s="295"/>
      <c r="N793" s="291"/>
      <c r="O793" s="295"/>
      <c r="P793" s="295"/>
      <c r="Q793" s="295"/>
      <c r="R793" s="295"/>
      <c r="S793" s="295"/>
      <c r="T793" s="295"/>
      <c r="U793" s="295"/>
      <c r="V793" s="295"/>
      <c r="W793" s="295"/>
      <c r="X793" s="295"/>
      <c r="Y793" s="409"/>
      <c r="Z793" s="409"/>
      <c r="AA793" s="409"/>
      <c r="AB793" s="409"/>
      <c r="AC793" s="409"/>
      <c r="AD793" s="409"/>
      <c r="AE793" s="409"/>
      <c r="AF793" s="409"/>
      <c r="AG793" s="409"/>
      <c r="AH793" s="409"/>
      <c r="AI793" s="409"/>
      <c r="AJ793" s="409"/>
      <c r="AK793" s="409"/>
      <c r="AL793" s="409"/>
      <c r="AM793" s="296">
        <f>SUM(Y793:AL793)</f>
        <v>0</v>
      </c>
    </row>
    <row r="794" spans="1:39" hidden="1" outlineLevel="1">
      <c r="A794" s="527"/>
      <c r="B794" s="294" t="s">
        <v>342</v>
      </c>
      <c r="C794" s="291" t="s">
        <v>163</v>
      </c>
      <c r="D794" s="295"/>
      <c r="E794" s="295"/>
      <c r="F794" s="295"/>
      <c r="G794" s="295"/>
      <c r="H794" s="295"/>
      <c r="I794" s="295"/>
      <c r="J794" s="295"/>
      <c r="K794" s="295"/>
      <c r="L794" s="295"/>
      <c r="M794" s="295"/>
      <c r="N794" s="464"/>
      <c r="O794" s="295"/>
      <c r="P794" s="295"/>
      <c r="Q794" s="295"/>
      <c r="R794" s="295"/>
      <c r="S794" s="295"/>
      <c r="T794" s="295"/>
      <c r="U794" s="295"/>
      <c r="V794" s="295"/>
      <c r="W794" s="295"/>
      <c r="X794" s="295"/>
      <c r="Y794" s="410">
        <f>Y793</f>
        <v>0</v>
      </c>
      <c r="Z794" s="410">
        <f t="shared" ref="Z794" si="2291">Z793</f>
        <v>0</v>
      </c>
      <c r="AA794" s="410">
        <f t="shared" ref="AA794" si="2292">AA793</f>
        <v>0</v>
      </c>
      <c r="AB794" s="410">
        <f t="shared" ref="AB794" si="2293">AB793</f>
        <v>0</v>
      </c>
      <c r="AC794" s="410">
        <f t="shared" ref="AC794" si="2294">AC793</f>
        <v>0</v>
      </c>
      <c r="AD794" s="410">
        <f t="shared" ref="AD794" si="2295">AD793</f>
        <v>0</v>
      </c>
      <c r="AE794" s="410">
        <f t="shared" ref="AE794" si="2296">AE793</f>
        <v>0</v>
      </c>
      <c r="AF794" s="410">
        <f t="shared" ref="AF794" si="2297">AF793</f>
        <v>0</v>
      </c>
      <c r="AG794" s="410">
        <f t="shared" ref="AG794" si="2298">AG793</f>
        <v>0</v>
      </c>
      <c r="AH794" s="410">
        <f t="shared" ref="AH794" si="2299">AH793</f>
        <v>0</v>
      </c>
      <c r="AI794" s="410">
        <f t="shared" ref="AI794" si="2300">AI793</f>
        <v>0</v>
      </c>
      <c r="AJ794" s="410">
        <f t="shared" ref="AJ794" si="2301">AJ793</f>
        <v>0</v>
      </c>
      <c r="AK794" s="410">
        <f t="shared" ref="AK794" si="2302">AK793</f>
        <v>0</v>
      </c>
      <c r="AL794" s="410">
        <f t="shared" ref="AL794" si="2303">AL793</f>
        <v>0</v>
      </c>
      <c r="AM794" s="297"/>
    </row>
    <row r="795" spans="1:39" ht="15.75" hidden="1" outlineLevel="1">
      <c r="A795" s="527"/>
      <c r="B795" s="298"/>
      <c r="C795" s="299"/>
      <c r="D795" s="299"/>
      <c r="E795" s="299"/>
      <c r="F795" s="299"/>
      <c r="G795" s="299"/>
      <c r="H795" s="299"/>
      <c r="I795" s="299"/>
      <c r="J795" s="299"/>
      <c r="K795" s="299"/>
      <c r="L795" s="299"/>
      <c r="M795" s="299"/>
      <c r="N795" s="300"/>
      <c r="O795" s="299"/>
      <c r="P795" s="299"/>
      <c r="Q795" s="299"/>
      <c r="R795" s="299"/>
      <c r="S795" s="299"/>
      <c r="T795" s="299"/>
      <c r="U795" s="299"/>
      <c r="V795" s="299"/>
      <c r="W795" s="299"/>
      <c r="X795" s="299"/>
      <c r="Y795" s="411"/>
      <c r="Z795" s="412"/>
      <c r="AA795" s="412"/>
      <c r="AB795" s="412"/>
      <c r="AC795" s="412"/>
      <c r="AD795" s="412"/>
      <c r="AE795" s="412"/>
      <c r="AF795" s="412"/>
      <c r="AG795" s="412"/>
      <c r="AH795" s="412"/>
      <c r="AI795" s="412"/>
      <c r="AJ795" s="412"/>
      <c r="AK795" s="412"/>
      <c r="AL795" s="412"/>
      <c r="AM795" s="302"/>
    </row>
    <row r="796" spans="1:39" ht="30" hidden="1" outlineLevel="1">
      <c r="A796" s="527">
        <v>2</v>
      </c>
      <c r="B796" s="425" t="s">
        <v>96</v>
      </c>
      <c r="C796" s="291" t="s">
        <v>25</v>
      </c>
      <c r="D796" s="295"/>
      <c r="E796" s="295"/>
      <c r="F796" s="295"/>
      <c r="G796" s="295"/>
      <c r="H796" s="295"/>
      <c r="I796" s="295"/>
      <c r="J796" s="295"/>
      <c r="K796" s="295"/>
      <c r="L796" s="295"/>
      <c r="M796" s="295"/>
      <c r="N796" s="291"/>
      <c r="O796" s="295"/>
      <c r="P796" s="295"/>
      <c r="Q796" s="295"/>
      <c r="R796" s="295"/>
      <c r="S796" s="295"/>
      <c r="T796" s="295"/>
      <c r="U796" s="295"/>
      <c r="V796" s="295"/>
      <c r="W796" s="295"/>
      <c r="X796" s="295"/>
      <c r="Y796" s="409"/>
      <c r="Z796" s="409"/>
      <c r="AA796" s="409"/>
      <c r="AB796" s="409"/>
      <c r="AC796" s="409"/>
      <c r="AD796" s="409"/>
      <c r="AE796" s="409"/>
      <c r="AF796" s="409"/>
      <c r="AG796" s="409"/>
      <c r="AH796" s="409"/>
      <c r="AI796" s="409"/>
      <c r="AJ796" s="409"/>
      <c r="AK796" s="409"/>
      <c r="AL796" s="409"/>
      <c r="AM796" s="296">
        <f>SUM(Y796:AL796)</f>
        <v>0</v>
      </c>
    </row>
    <row r="797" spans="1:39" hidden="1" outlineLevel="1">
      <c r="A797" s="527"/>
      <c r="B797" s="294" t="s">
        <v>342</v>
      </c>
      <c r="C797" s="291" t="s">
        <v>163</v>
      </c>
      <c r="D797" s="295"/>
      <c r="E797" s="295"/>
      <c r="F797" s="295"/>
      <c r="G797" s="295"/>
      <c r="H797" s="295"/>
      <c r="I797" s="295"/>
      <c r="J797" s="295"/>
      <c r="K797" s="295"/>
      <c r="L797" s="295"/>
      <c r="M797" s="295"/>
      <c r="N797" s="464"/>
      <c r="O797" s="295"/>
      <c r="P797" s="295"/>
      <c r="Q797" s="295"/>
      <c r="R797" s="295"/>
      <c r="S797" s="295"/>
      <c r="T797" s="295"/>
      <c r="U797" s="295"/>
      <c r="V797" s="295"/>
      <c r="W797" s="295"/>
      <c r="X797" s="295"/>
      <c r="Y797" s="410">
        <f>Y796</f>
        <v>0</v>
      </c>
      <c r="Z797" s="410">
        <f t="shared" ref="Z797" si="2304">Z796</f>
        <v>0</v>
      </c>
      <c r="AA797" s="410">
        <f t="shared" ref="AA797" si="2305">AA796</f>
        <v>0</v>
      </c>
      <c r="AB797" s="410">
        <f t="shared" ref="AB797" si="2306">AB796</f>
        <v>0</v>
      </c>
      <c r="AC797" s="410">
        <f t="shared" ref="AC797" si="2307">AC796</f>
        <v>0</v>
      </c>
      <c r="AD797" s="410">
        <f t="shared" ref="AD797" si="2308">AD796</f>
        <v>0</v>
      </c>
      <c r="AE797" s="410">
        <f t="shared" ref="AE797" si="2309">AE796</f>
        <v>0</v>
      </c>
      <c r="AF797" s="410">
        <f t="shared" ref="AF797" si="2310">AF796</f>
        <v>0</v>
      </c>
      <c r="AG797" s="410">
        <f t="shared" ref="AG797" si="2311">AG796</f>
        <v>0</v>
      </c>
      <c r="AH797" s="410">
        <f t="shared" ref="AH797" si="2312">AH796</f>
        <v>0</v>
      </c>
      <c r="AI797" s="410">
        <f t="shared" ref="AI797" si="2313">AI796</f>
        <v>0</v>
      </c>
      <c r="AJ797" s="410">
        <f t="shared" ref="AJ797" si="2314">AJ796</f>
        <v>0</v>
      </c>
      <c r="AK797" s="410">
        <f t="shared" ref="AK797" si="2315">AK796</f>
        <v>0</v>
      </c>
      <c r="AL797" s="410">
        <f t="shared" ref="AL797" si="2316">AL796</f>
        <v>0</v>
      </c>
      <c r="AM797" s="297"/>
    </row>
    <row r="798" spans="1:39" ht="15.75" hidden="1" outlineLevel="1">
      <c r="A798" s="527"/>
      <c r="B798" s="298"/>
      <c r="C798" s="299"/>
      <c r="D798" s="304"/>
      <c r="E798" s="304"/>
      <c r="F798" s="304"/>
      <c r="G798" s="304"/>
      <c r="H798" s="304"/>
      <c r="I798" s="304"/>
      <c r="J798" s="304"/>
      <c r="K798" s="304"/>
      <c r="L798" s="304"/>
      <c r="M798" s="304"/>
      <c r="N798" s="300"/>
      <c r="O798" s="304"/>
      <c r="P798" s="304"/>
      <c r="Q798" s="304"/>
      <c r="R798" s="304"/>
      <c r="S798" s="304"/>
      <c r="T798" s="304"/>
      <c r="U798" s="304"/>
      <c r="V798" s="304"/>
      <c r="W798" s="304"/>
      <c r="X798" s="304"/>
      <c r="Y798" s="411"/>
      <c r="Z798" s="412"/>
      <c r="AA798" s="412"/>
      <c r="AB798" s="412"/>
      <c r="AC798" s="412"/>
      <c r="AD798" s="412"/>
      <c r="AE798" s="412"/>
      <c r="AF798" s="412"/>
      <c r="AG798" s="412"/>
      <c r="AH798" s="412"/>
      <c r="AI798" s="412"/>
      <c r="AJ798" s="412"/>
      <c r="AK798" s="412"/>
      <c r="AL798" s="412"/>
      <c r="AM798" s="302"/>
    </row>
    <row r="799" spans="1:39" ht="30" hidden="1" outlineLevel="1">
      <c r="A799" s="527">
        <v>3</v>
      </c>
      <c r="B799" s="425" t="s">
        <v>97</v>
      </c>
      <c r="C799" s="291" t="s">
        <v>25</v>
      </c>
      <c r="D799" s="295"/>
      <c r="E799" s="295"/>
      <c r="F799" s="295"/>
      <c r="G799" s="295"/>
      <c r="H799" s="295"/>
      <c r="I799" s="295"/>
      <c r="J799" s="295"/>
      <c r="K799" s="295"/>
      <c r="L799" s="295"/>
      <c r="M799" s="295"/>
      <c r="N799" s="291"/>
      <c r="O799" s="295"/>
      <c r="P799" s="295"/>
      <c r="Q799" s="295"/>
      <c r="R799" s="295"/>
      <c r="S799" s="295"/>
      <c r="T799" s="295"/>
      <c r="U799" s="295"/>
      <c r="V799" s="295"/>
      <c r="W799" s="295"/>
      <c r="X799" s="295"/>
      <c r="Y799" s="409"/>
      <c r="Z799" s="409"/>
      <c r="AA799" s="409"/>
      <c r="AB799" s="409"/>
      <c r="AC799" s="409"/>
      <c r="AD799" s="409"/>
      <c r="AE799" s="409"/>
      <c r="AF799" s="409"/>
      <c r="AG799" s="409"/>
      <c r="AH799" s="409"/>
      <c r="AI799" s="409"/>
      <c r="AJ799" s="409"/>
      <c r="AK799" s="409"/>
      <c r="AL799" s="409"/>
      <c r="AM799" s="296">
        <f>SUM(Y799:AL799)</f>
        <v>0</v>
      </c>
    </row>
    <row r="800" spans="1:39" hidden="1" outlineLevel="1">
      <c r="A800" s="527"/>
      <c r="B800" s="294" t="s">
        <v>342</v>
      </c>
      <c r="C800" s="291" t="s">
        <v>163</v>
      </c>
      <c r="D800" s="295"/>
      <c r="E800" s="295"/>
      <c r="F800" s="295"/>
      <c r="G800" s="295"/>
      <c r="H800" s="295"/>
      <c r="I800" s="295"/>
      <c r="J800" s="295"/>
      <c r="K800" s="295"/>
      <c r="L800" s="295"/>
      <c r="M800" s="295"/>
      <c r="N800" s="464"/>
      <c r="O800" s="295"/>
      <c r="P800" s="295"/>
      <c r="Q800" s="295"/>
      <c r="R800" s="295"/>
      <c r="S800" s="295"/>
      <c r="T800" s="295"/>
      <c r="U800" s="295"/>
      <c r="V800" s="295"/>
      <c r="W800" s="295"/>
      <c r="X800" s="295"/>
      <c r="Y800" s="410">
        <f>Y799</f>
        <v>0</v>
      </c>
      <c r="Z800" s="410">
        <f t="shared" ref="Z800" si="2317">Z799</f>
        <v>0</v>
      </c>
      <c r="AA800" s="410">
        <f t="shared" ref="AA800" si="2318">AA799</f>
        <v>0</v>
      </c>
      <c r="AB800" s="410">
        <f t="shared" ref="AB800" si="2319">AB799</f>
        <v>0</v>
      </c>
      <c r="AC800" s="410">
        <f t="shared" ref="AC800" si="2320">AC799</f>
        <v>0</v>
      </c>
      <c r="AD800" s="410">
        <f t="shared" ref="AD800" si="2321">AD799</f>
        <v>0</v>
      </c>
      <c r="AE800" s="410">
        <f t="shared" ref="AE800" si="2322">AE799</f>
        <v>0</v>
      </c>
      <c r="AF800" s="410">
        <f t="shared" ref="AF800" si="2323">AF799</f>
        <v>0</v>
      </c>
      <c r="AG800" s="410">
        <f t="shared" ref="AG800" si="2324">AG799</f>
        <v>0</v>
      </c>
      <c r="AH800" s="410">
        <f t="shared" ref="AH800" si="2325">AH799</f>
        <v>0</v>
      </c>
      <c r="AI800" s="410">
        <f t="shared" ref="AI800" si="2326">AI799</f>
        <v>0</v>
      </c>
      <c r="AJ800" s="410">
        <f t="shared" ref="AJ800" si="2327">AJ799</f>
        <v>0</v>
      </c>
      <c r="AK800" s="410">
        <f t="shared" ref="AK800" si="2328">AK799</f>
        <v>0</v>
      </c>
      <c r="AL800" s="410">
        <f t="shared" ref="AL800" si="2329">AL799</f>
        <v>0</v>
      </c>
      <c r="AM800" s="297"/>
    </row>
    <row r="801" spans="1:39" hidden="1" outlineLevel="1">
      <c r="A801" s="527"/>
      <c r="B801" s="294"/>
      <c r="C801" s="305"/>
      <c r="D801" s="291"/>
      <c r="E801" s="291"/>
      <c r="F801" s="291"/>
      <c r="G801" s="291"/>
      <c r="H801" s="291"/>
      <c r="I801" s="291"/>
      <c r="J801" s="291"/>
      <c r="K801" s="291"/>
      <c r="L801" s="291"/>
      <c r="M801" s="291"/>
      <c r="N801" s="291"/>
      <c r="O801" s="291"/>
      <c r="P801" s="291"/>
      <c r="Q801" s="291"/>
      <c r="R801" s="291"/>
      <c r="S801" s="291"/>
      <c r="T801" s="291"/>
      <c r="U801" s="291"/>
      <c r="V801" s="291"/>
      <c r="W801" s="291"/>
      <c r="X801" s="291"/>
      <c r="Y801" s="411"/>
      <c r="Z801" s="411"/>
      <c r="AA801" s="411"/>
      <c r="AB801" s="411"/>
      <c r="AC801" s="411"/>
      <c r="AD801" s="411"/>
      <c r="AE801" s="411"/>
      <c r="AF801" s="411"/>
      <c r="AG801" s="411"/>
      <c r="AH801" s="411"/>
      <c r="AI801" s="411"/>
      <c r="AJ801" s="411"/>
      <c r="AK801" s="411"/>
      <c r="AL801" s="411"/>
      <c r="AM801" s="306"/>
    </row>
    <row r="802" spans="1:39" hidden="1" outlineLevel="1">
      <c r="A802" s="527">
        <v>4</v>
      </c>
      <c r="B802" s="515" t="s">
        <v>672</v>
      </c>
      <c r="C802" s="291" t="s">
        <v>25</v>
      </c>
      <c r="D802" s="295"/>
      <c r="E802" s="295"/>
      <c r="F802" s="295"/>
      <c r="G802" s="295"/>
      <c r="H802" s="295"/>
      <c r="I802" s="295"/>
      <c r="J802" s="295"/>
      <c r="K802" s="295"/>
      <c r="L802" s="295"/>
      <c r="M802" s="295"/>
      <c r="N802" s="291"/>
      <c r="O802" s="295"/>
      <c r="P802" s="295"/>
      <c r="Q802" s="295"/>
      <c r="R802" s="295"/>
      <c r="S802" s="295"/>
      <c r="T802" s="295"/>
      <c r="U802" s="295"/>
      <c r="V802" s="295"/>
      <c r="W802" s="295"/>
      <c r="X802" s="295"/>
      <c r="Y802" s="414"/>
      <c r="Z802" s="414"/>
      <c r="AA802" s="414"/>
      <c r="AB802" s="414"/>
      <c r="AC802" s="414"/>
      <c r="AD802" s="414"/>
      <c r="AE802" s="414"/>
      <c r="AF802" s="409"/>
      <c r="AG802" s="409"/>
      <c r="AH802" s="409"/>
      <c r="AI802" s="409"/>
      <c r="AJ802" s="409"/>
      <c r="AK802" s="409"/>
      <c r="AL802" s="409"/>
      <c r="AM802" s="296">
        <f>SUM(Y802:AL802)</f>
        <v>0</v>
      </c>
    </row>
    <row r="803" spans="1:39" hidden="1" outlineLevel="1">
      <c r="A803" s="527"/>
      <c r="B803" s="294" t="s">
        <v>342</v>
      </c>
      <c r="C803" s="291" t="s">
        <v>163</v>
      </c>
      <c r="D803" s="295"/>
      <c r="E803" s="295"/>
      <c r="F803" s="295"/>
      <c r="G803" s="295"/>
      <c r="H803" s="295"/>
      <c r="I803" s="295"/>
      <c r="J803" s="295"/>
      <c r="K803" s="295"/>
      <c r="L803" s="295"/>
      <c r="M803" s="295"/>
      <c r="N803" s="464"/>
      <c r="O803" s="295"/>
      <c r="P803" s="295"/>
      <c r="Q803" s="295"/>
      <c r="R803" s="295"/>
      <c r="S803" s="295"/>
      <c r="T803" s="295"/>
      <c r="U803" s="295"/>
      <c r="V803" s="295"/>
      <c r="W803" s="295"/>
      <c r="X803" s="295"/>
      <c r="Y803" s="410">
        <f>Y802</f>
        <v>0</v>
      </c>
      <c r="Z803" s="410">
        <f t="shared" ref="Z803" si="2330">Z802</f>
        <v>0</v>
      </c>
      <c r="AA803" s="410">
        <f t="shared" ref="AA803" si="2331">AA802</f>
        <v>0</v>
      </c>
      <c r="AB803" s="410">
        <f t="shared" ref="AB803" si="2332">AB802</f>
        <v>0</v>
      </c>
      <c r="AC803" s="410">
        <f t="shared" ref="AC803" si="2333">AC802</f>
        <v>0</v>
      </c>
      <c r="AD803" s="410">
        <f t="shared" ref="AD803" si="2334">AD802</f>
        <v>0</v>
      </c>
      <c r="AE803" s="410">
        <f t="shared" ref="AE803" si="2335">AE802</f>
        <v>0</v>
      </c>
      <c r="AF803" s="410">
        <f t="shared" ref="AF803" si="2336">AF802</f>
        <v>0</v>
      </c>
      <c r="AG803" s="410">
        <f t="shared" ref="AG803" si="2337">AG802</f>
        <v>0</v>
      </c>
      <c r="AH803" s="410">
        <f t="shared" ref="AH803" si="2338">AH802</f>
        <v>0</v>
      </c>
      <c r="AI803" s="410">
        <f t="shared" ref="AI803" si="2339">AI802</f>
        <v>0</v>
      </c>
      <c r="AJ803" s="410">
        <f t="shared" ref="AJ803" si="2340">AJ802</f>
        <v>0</v>
      </c>
      <c r="AK803" s="410">
        <f t="shared" ref="AK803" si="2341">AK802</f>
        <v>0</v>
      </c>
      <c r="AL803" s="410">
        <f t="shared" ref="AL803" si="2342">AL802</f>
        <v>0</v>
      </c>
      <c r="AM803" s="297"/>
    </row>
    <row r="804" spans="1:39" hidden="1" outlineLevel="1">
      <c r="A804" s="527"/>
      <c r="B804" s="294"/>
      <c r="C804" s="305"/>
      <c r="D804" s="304"/>
      <c r="E804" s="304"/>
      <c r="F804" s="304"/>
      <c r="G804" s="304"/>
      <c r="H804" s="304"/>
      <c r="I804" s="304"/>
      <c r="J804" s="304"/>
      <c r="K804" s="304"/>
      <c r="L804" s="304"/>
      <c r="M804" s="304"/>
      <c r="N804" s="291"/>
      <c r="O804" s="304"/>
      <c r="P804" s="304"/>
      <c r="Q804" s="304"/>
      <c r="R804" s="304"/>
      <c r="S804" s="304"/>
      <c r="T804" s="304"/>
      <c r="U804" s="304"/>
      <c r="V804" s="304"/>
      <c r="W804" s="304"/>
      <c r="X804" s="304"/>
      <c r="Y804" s="411"/>
      <c r="Z804" s="411"/>
      <c r="AA804" s="411"/>
      <c r="AB804" s="411"/>
      <c r="AC804" s="411"/>
      <c r="AD804" s="411"/>
      <c r="AE804" s="411"/>
      <c r="AF804" s="411"/>
      <c r="AG804" s="411"/>
      <c r="AH804" s="411"/>
      <c r="AI804" s="411"/>
      <c r="AJ804" s="411"/>
      <c r="AK804" s="411"/>
      <c r="AL804" s="411"/>
      <c r="AM804" s="306"/>
    </row>
    <row r="805" spans="1:39" ht="15.75" hidden="1" customHeight="1" outlineLevel="1">
      <c r="A805" s="527">
        <v>5</v>
      </c>
      <c r="B805" s="425" t="s">
        <v>98</v>
      </c>
      <c r="C805" s="291" t="s">
        <v>25</v>
      </c>
      <c r="D805" s="295"/>
      <c r="E805" s="295"/>
      <c r="F805" s="295"/>
      <c r="G805" s="295"/>
      <c r="H805" s="295"/>
      <c r="I805" s="295"/>
      <c r="J805" s="295"/>
      <c r="K805" s="295"/>
      <c r="L805" s="295"/>
      <c r="M805" s="295"/>
      <c r="N805" s="291"/>
      <c r="O805" s="295"/>
      <c r="P805" s="295"/>
      <c r="Q805" s="295"/>
      <c r="R805" s="295"/>
      <c r="S805" s="295"/>
      <c r="T805" s="295"/>
      <c r="U805" s="295"/>
      <c r="V805" s="295"/>
      <c r="W805" s="295"/>
      <c r="X805" s="295"/>
      <c r="Y805" s="414"/>
      <c r="Z805" s="414"/>
      <c r="AA805" s="414"/>
      <c r="AB805" s="414"/>
      <c r="AC805" s="414"/>
      <c r="AD805" s="414"/>
      <c r="AE805" s="414"/>
      <c r="AF805" s="409"/>
      <c r="AG805" s="409"/>
      <c r="AH805" s="409"/>
      <c r="AI805" s="409"/>
      <c r="AJ805" s="409"/>
      <c r="AK805" s="409"/>
      <c r="AL805" s="409"/>
      <c r="AM805" s="296">
        <f>SUM(Y805:AL805)</f>
        <v>0</v>
      </c>
    </row>
    <row r="806" spans="1:39" ht="20.25" hidden="1" customHeight="1" outlineLevel="1">
      <c r="A806" s="527"/>
      <c r="B806" s="294" t="s">
        <v>342</v>
      </c>
      <c r="C806" s="291" t="s">
        <v>163</v>
      </c>
      <c r="D806" s="295"/>
      <c r="E806" s="295"/>
      <c r="F806" s="295"/>
      <c r="G806" s="295"/>
      <c r="H806" s="295"/>
      <c r="I806" s="295"/>
      <c r="J806" s="295"/>
      <c r="K806" s="295"/>
      <c r="L806" s="295"/>
      <c r="M806" s="295"/>
      <c r="N806" s="464"/>
      <c r="O806" s="295"/>
      <c r="P806" s="295"/>
      <c r="Q806" s="295"/>
      <c r="R806" s="295"/>
      <c r="S806" s="295"/>
      <c r="T806" s="295"/>
      <c r="U806" s="295"/>
      <c r="V806" s="295"/>
      <c r="W806" s="295"/>
      <c r="X806" s="295"/>
      <c r="Y806" s="410">
        <f>Y805</f>
        <v>0</v>
      </c>
      <c r="Z806" s="410">
        <f t="shared" ref="Z806" si="2343">Z805</f>
        <v>0</v>
      </c>
      <c r="AA806" s="410">
        <f t="shared" ref="AA806" si="2344">AA805</f>
        <v>0</v>
      </c>
      <c r="AB806" s="410">
        <f t="shared" ref="AB806" si="2345">AB805</f>
        <v>0</v>
      </c>
      <c r="AC806" s="410">
        <f t="shared" ref="AC806" si="2346">AC805</f>
        <v>0</v>
      </c>
      <c r="AD806" s="410">
        <f t="shared" ref="AD806" si="2347">AD805</f>
        <v>0</v>
      </c>
      <c r="AE806" s="410">
        <f t="shared" ref="AE806" si="2348">AE805</f>
        <v>0</v>
      </c>
      <c r="AF806" s="410">
        <f t="shared" ref="AF806" si="2349">AF805</f>
        <v>0</v>
      </c>
      <c r="AG806" s="410">
        <f t="shared" ref="AG806" si="2350">AG805</f>
        <v>0</v>
      </c>
      <c r="AH806" s="410">
        <f t="shared" ref="AH806" si="2351">AH805</f>
        <v>0</v>
      </c>
      <c r="AI806" s="410">
        <f t="shared" ref="AI806" si="2352">AI805</f>
        <v>0</v>
      </c>
      <c r="AJ806" s="410">
        <f t="shared" ref="AJ806" si="2353">AJ805</f>
        <v>0</v>
      </c>
      <c r="AK806" s="410">
        <f t="shared" ref="AK806" si="2354">AK805</f>
        <v>0</v>
      </c>
      <c r="AL806" s="410">
        <f t="shared" ref="AL806" si="2355">AL805</f>
        <v>0</v>
      </c>
      <c r="AM806" s="297"/>
    </row>
    <row r="807" spans="1:39" hidden="1" outlineLevel="1">
      <c r="A807" s="527"/>
      <c r="B807" s="294"/>
      <c r="C807" s="291"/>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9"/>
      <c r="Z807" s="420"/>
      <c r="AA807" s="420"/>
      <c r="AB807" s="420"/>
      <c r="AC807" s="420"/>
      <c r="AD807" s="420"/>
      <c r="AE807" s="420"/>
      <c r="AF807" s="420"/>
      <c r="AG807" s="420"/>
      <c r="AH807" s="420"/>
      <c r="AI807" s="420"/>
      <c r="AJ807" s="420"/>
      <c r="AK807" s="420"/>
      <c r="AL807" s="420"/>
      <c r="AM807" s="297"/>
    </row>
    <row r="808" spans="1:39" ht="31.5" hidden="1" outlineLevel="1">
      <c r="A808" s="527"/>
      <c r="B808" s="318" t="s">
        <v>498</v>
      </c>
      <c r="C808" s="289"/>
      <c r="D808" s="289"/>
      <c r="E808" s="289"/>
      <c r="F808" s="289"/>
      <c r="G808" s="289"/>
      <c r="H808" s="289"/>
      <c r="I808" s="289"/>
      <c r="J808" s="289"/>
      <c r="K808" s="289"/>
      <c r="L808" s="289"/>
      <c r="M808" s="289"/>
      <c r="N808" s="290"/>
      <c r="O808" s="289"/>
      <c r="P808" s="289"/>
      <c r="Q808" s="289"/>
      <c r="R808" s="289"/>
      <c r="S808" s="289"/>
      <c r="T808" s="289"/>
      <c r="U808" s="289"/>
      <c r="V808" s="289"/>
      <c r="W808" s="289"/>
      <c r="X808" s="289"/>
      <c r="Y808" s="413"/>
      <c r="Z808" s="413"/>
      <c r="AA808" s="413"/>
      <c r="AB808" s="413"/>
      <c r="AC808" s="413"/>
      <c r="AD808" s="413"/>
      <c r="AE808" s="413"/>
      <c r="AF808" s="413"/>
      <c r="AG808" s="413"/>
      <c r="AH808" s="413"/>
      <c r="AI808" s="413"/>
      <c r="AJ808" s="413"/>
      <c r="AK808" s="413"/>
      <c r="AL808" s="413"/>
      <c r="AM808" s="292"/>
    </row>
    <row r="809" spans="1:39" hidden="1" outlineLevel="1">
      <c r="A809" s="527">
        <v>6</v>
      </c>
      <c r="B809" s="425" t="s">
        <v>99</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4"/>
      <c r="Z809" s="414"/>
      <c r="AA809" s="414"/>
      <c r="AB809" s="414"/>
      <c r="AC809" s="414"/>
      <c r="AD809" s="414"/>
      <c r="AE809" s="414"/>
      <c r="AF809" s="414"/>
      <c r="AG809" s="414"/>
      <c r="AH809" s="414"/>
      <c r="AI809" s="414"/>
      <c r="AJ809" s="414"/>
      <c r="AK809" s="414"/>
      <c r="AL809" s="414"/>
      <c r="AM809" s="296">
        <f>SUM(Y809:AL809)</f>
        <v>0</v>
      </c>
    </row>
    <row r="810" spans="1:39" hidden="1" outlineLevel="1">
      <c r="A810" s="527"/>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0">
        <f>Y809</f>
        <v>0</v>
      </c>
      <c r="Z810" s="410">
        <f t="shared" ref="Z810" si="2356">Z809</f>
        <v>0</v>
      </c>
      <c r="AA810" s="410">
        <f t="shared" ref="AA810" si="2357">AA809</f>
        <v>0</v>
      </c>
      <c r="AB810" s="410">
        <f t="shared" ref="AB810" si="2358">AB809</f>
        <v>0</v>
      </c>
      <c r="AC810" s="410">
        <f t="shared" ref="AC810" si="2359">AC809</f>
        <v>0</v>
      </c>
      <c r="AD810" s="410">
        <f t="shared" ref="AD810" si="2360">AD809</f>
        <v>0</v>
      </c>
      <c r="AE810" s="410">
        <f t="shared" ref="AE810" si="2361">AE809</f>
        <v>0</v>
      </c>
      <c r="AF810" s="410">
        <f t="shared" ref="AF810" si="2362">AF809</f>
        <v>0</v>
      </c>
      <c r="AG810" s="410">
        <f t="shared" ref="AG810" si="2363">AG809</f>
        <v>0</v>
      </c>
      <c r="AH810" s="410">
        <f t="shared" ref="AH810" si="2364">AH809</f>
        <v>0</v>
      </c>
      <c r="AI810" s="410">
        <f t="shared" ref="AI810" si="2365">AI809</f>
        <v>0</v>
      </c>
      <c r="AJ810" s="410">
        <f t="shared" ref="AJ810" si="2366">AJ809</f>
        <v>0</v>
      </c>
      <c r="AK810" s="410">
        <f t="shared" ref="AK810" si="2367">AK809</f>
        <v>0</v>
      </c>
      <c r="AL810" s="410">
        <f t="shared" ref="AL810" si="2368">AL809</f>
        <v>0</v>
      </c>
      <c r="AM810" s="311"/>
    </row>
    <row r="811" spans="1:39" hidden="1" outlineLevel="1">
      <c r="A811" s="527"/>
      <c r="B811" s="310"/>
      <c r="C811" s="312"/>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5"/>
      <c r="Z811" s="415"/>
      <c r="AA811" s="415"/>
      <c r="AB811" s="415"/>
      <c r="AC811" s="415"/>
      <c r="AD811" s="415"/>
      <c r="AE811" s="415"/>
      <c r="AF811" s="415"/>
      <c r="AG811" s="415"/>
      <c r="AH811" s="415"/>
      <c r="AI811" s="415"/>
      <c r="AJ811" s="415"/>
      <c r="AK811" s="415"/>
      <c r="AL811" s="415"/>
      <c r="AM811" s="313"/>
    </row>
    <row r="812" spans="1:39" ht="45" hidden="1" outlineLevel="1">
      <c r="A812" s="527">
        <v>7</v>
      </c>
      <c r="B812" s="425" t="s">
        <v>100</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4"/>
      <c r="Z812" s="414"/>
      <c r="AA812" s="414"/>
      <c r="AB812" s="414"/>
      <c r="AC812" s="414"/>
      <c r="AD812" s="414"/>
      <c r="AE812" s="414"/>
      <c r="AF812" s="414"/>
      <c r="AG812" s="414"/>
      <c r="AH812" s="414"/>
      <c r="AI812" s="414"/>
      <c r="AJ812" s="414"/>
      <c r="AK812" s="414"/>
      <c r="AL812" s="414"/>
      <c r="AM812" s="296">
        <f>SUM(Y812:AL812)</f>
        <v>0</v>
      </c>
    </row>
    <row r="813" spans="1:39" hidden="1" outlineLevel="1">
      <c r="A813" s="527"/>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0">
        <f>Y812</f>
        <v>0</v>
      </c>
      <c r="Z813" s="410">
        <f t="shared" ref="Z813" si="2369">Z812</f>
        <v>0</v>
      </c>
      <c r="AA813" s="410">
        <f t="shared" ref="AA813" si="2370">AA812</f>
        <v>0</v>
      </c>
      <c r="AB813" s="410">
        <f t="shared" ref="AB813" si="2371">AB812</f>
        <v>0</v>
      </c>
      <c r="AC813" s="410">
        <f t="shared" ref="AC813" si="2372">AC812</f>
        <v>0</v>
      </c>
      <c r="AD813" s="410">
        <f t="shared" ref="AD813" si="2373">AD812</f>
        <v>0</v>
      </c>
      <c r="AE813" s="410">
        <f t="shared" ref="AE813" si="2374">AE812</f>
        <v>0</v>
      </c>
      <c r="AF813" s="410">
        <f t="shared" ref="AF813" si="2375">AF812</f>
        <v>0</v>
      </c>
      <c r="AG813" s="410">
        <f t="shared" ref="AG813" si="2376">AG812</f>
        <v>0</v>
      </c>
      <c r="AH813" s="410">
        <f t="shared" ref="AH813" si="2377">AH812</f>
        <v>0</v>
      </c>
      <c r="AI813" s="410">
        <f t="shared" ref="AI813" si="2378">AI812</f>
        <v>0</v>
      </c>
      <c r="AJ813" s="410">
        <f t="shared" ref="AJ813" si="2379">AJ812</f>
        <v>0</v>
      </c>
      <c r="AK813" s="410">
        <f t="shared" ref="AK813" si="2380">AK812</f>
        <v>0</v>
      </c>
      <c r="AL813" s="410">
        <f t="shared" ref="AL813" si="2381">AL812</f>
        <v>0</v>
      </c>
      <c r="AM813" s="311"/>
    </row>
    <row r="814" spans="1:39" hidden="1" outlineLevel="1">
      <c r="A814" s="527"/>
      <c r="B814" s="314"/>
      <c r="C814" s="312"/>
      <c r="D814" s="291"/>
      <c r="E814" s="291"/>
      <c r="F814" s="291"/>
      <c r="G814" s="291"/>
      <c r="H814" s="291"/>
      <c r="I814" s="291"/>
      <c r="J814" s="291"/>
      <c r="K814" s="291"/>
      <c r="L814" s="291"/>
      <c r="M814" s="291"/>
      <c r="N814" s="291"/>
      <c r="O814" s="291"/>
      <c r="P814" s="291"/>
      <c r="Q814" s="291"/>
      <c r="R814" s="291"/>
      <c r="S814" s="291"/>
      <c r="T814" s="291"/>
      <c r="U814" s="291"/>
      <c r="V814" s="291"/>
      <c r="W814" s="291"/>
      <c r="X814" s="291"/>
      <c r="Y814" s="415"/>
      <c r="Z814" s="416"/>
      <c r="AA814" s="415"/>
      <c r="AB814" s="415"/>
      <c r="AC814" s="415"/>
      <c r="AD814" s="415"/>
      <c r="AE814" s="415"/>
      <c r="AF814" s="415"/>
      <c r="AG814" s="415"/>
      <c r="AH814" s="415"/>
      <c r="AI814" s="415"/>
      <c r="AJ814" s="415"/>
      <c r="AK814" s="415"/>
      <c r="AL814" s="415"/>
      <c r="AM814" s="313"/>
    </row>
    <row r="815" spans="1:39" ht="30" hidden="1" outlineLevel="1">
      <c r="A815" s="527">
        <v>8</v>
      </c>
      <c r="B815" s="425" t="s">
        <v>101</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4"/>
      <c r="Z815" s="414"/>
      <c r="AA815" s="414"/>
      <c r="AB815" s="414"/>
      <c r="AC815" s="414"/>
      <c r="AD815" s="414"/>
      <c r="AE815" s="414"/>
      <c r="AF815" s="414"/>
      <c r="AG815" s="414"/>
      <c r="AH815" s="414"/>
      <c r="AI815" s="414"/>
      <c r="AJ815" s="414"/>
      <c r="AK815" s="414"/>
      <c r="AL815" s="414"/>
      <c r="AM815" s="296">
        <f>SUM(Y815:AL815)</f>
        <v>0</v>
      </c>
    </row>
    <row r="816" spans="1:39" hidden="1" outlineLevel="1">
      <c r="A816" s="527"/>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0">
        <f>Y815</f>
        <v>0</v>
      </c>
      <c r="Z816" s="410">
        <f t="shared" ref="Z816" si="2382">Z815</f>
        <v>0</v>
      </c>
      <c r="AA816" s="410">
        <f t="shared" ref="AA816" si="2383">AA815</f>
        <v>0</v>
      </c>
      <c r="AB816" s="410">
        <f t="shared" ref="AB816" si="2384">AB815</f>
        <v>0</v>
      </c>
      <c r="AC816" s="410">
        <f t="shared" ref="AC816" si="2385">AC815</f>
        <v>0</v>
      </c>
      <c r="AD816" s="410">
        <f t="shared" ref="AD816" si="2386">AD815</f>
        <v>0</v>
      </c>
      <c r="AE816" s="410">
        <f t="shared" ref="AE816" si="2387">AE815</f>
        <v>0</v>
      </c>
      <c r="AF816" s="410">
        <f t="shared" ref="AF816" si="2388">AF815</f>
        <v>0</v>
      </c>
      <c r="AG816" s="410">
        <f t="shared" ref="AG816" si="2389">AG815</f>
        <v>0</v>
      </c>
      <c r="AH816" s="410">
        <f t="shared" ref="AH816" si="2390">AH815</f>
        <v>0</v>
      </c>
      <c r="AI816" s="410">
        <f t="shared" ref="AI816" si="2391">AI815</f>
        <v>0</v>
      </c>
      <c r="AJ816" s="410">
        <f t="shared" ref="AJ816" si="2392">AJ815</f>
        <v>0</v>
      </c>
      <c r="AK816" s="410">
        <f t="shared" ref="AK816" si="2393">AK815</f>
        <v>0</v>
      </c>
      <c r="AL816" s="410">
        <f t="shared" ref="AL816" si="2394">AL815</f>
        <v>0</v>
      </c>
      <c r="AM816" s="311"/>
    </row>
    <row r="817" spans="1:39" hidden="1" outlineLevel="1">
      <c r="A817" s="527"/>
      <c r="B817" s="314"/>
      <c r="C817" s="312"/>
      <c r="D817" s="316"/>
      <c r="E817" s="316"/>
      <c r="F817" s="316"/>
      <c r="G817" s="316"/>
      <c r="H817" s="316"/>
      <c r="I817" s="316"/>
      <c r="J817" s="316"/>
      <c r="K817" s="316"/>
      <c r="L817" s="316"/>
      <c r="M817" s="316"/>
      <c r="N817" s="291"/>
      <c r="O817" s="316"/>
      <c r="P817" s="316"/>
      <c r="Q817" s="316"/>
      <c r="R817" s="316"/>
      <c r="S817" s="316"/>
      <c r="T817" s="316"/>
      <c r="U817" s="316"/>
      <c r="V817" s="316"/>
      <c r="W817" s="316"/>
      <c r="X817" s="316"/>
      <c r="Y817" s="415"/>
      <c r="Z817" s="416"/>
      <c r="AA817" s="415"/>
      <c r="AB817" s="415"/>
      <c r="AC817" s="415"/>
      <c r="AD817" s="415"/>
      <c r="AE817" s="415"/>
      <c r="AF817" s="415"/>
      <c r="AG817" s="415"/>
      <c r="AH817" s="415"/>
      <c r="AI817" s="415"/>
      <c r="AJ817" s="415"/>
      <c r="AK817" s="415"/>
      <c r="AL817" s="415"/>
      <c r="AM817" s="313"/>
    </row>
    <row r="818" spans="1:39" ht="30" hidden="1" outlineLevel="1">
      <c r="A818" s="527">
        <v>9</v>
      </c>
      <c r="B818" s="425" t="s">
        <v>102</v>
      </c>
      <c r="C818" s="291" t="s">
        <v>25</v>
      </c>
      <c r="D818" s="295"/>
      <c r="E818" s="295"/>
      <c r="F818" s="295"/>
      <c r="G818" s="295"/>
      <c r="H818" s="295"/>
      <c r="I818" s="295"/>
      <c r="J818" s="295"/>
      <c r="K818" s="295"/>
      <c r="L818" s="295"/>
      <c r="M818" s="295"/>
      <c r="N818" s="295">
        <v>12</v>
      </c>
      <c r="O818" s="295"/>
      <c r="P818" s="295"/>
      <c r="Q818" s="295"/>
      <c r="R818" s="295"/>
      <c r="S818" s="295"/>
      <c r="T818" s="295"/>
      <c r="U818" s="295"/>
      <c r="V818" s="295"/>
      <c r="W818" s="295"/>
      <c r="X818" s="295"/>
      <c r="Y818" s="414"/>
      <c r="Z818" s="414"/>
      <c r="AA818" s="414"/>
      <c r="AB818" s="414"/>
      <c r="AC818" s="414"/>
      <c r="AD818" s="414"/>
      <c r="AE818" s="414"/>
      <c r="AF818" s="414"/>
      <c r="AG818" s="414"/>
      <c r="AH818" s="414"/>
      <c r="AI818" s="414"/>
      <c r="AJ818" s="414"/>
      <c r="AK818" s="414"/>
      <c r="AL818" s="414"/>
      <c r="AM818" s="296">
        <f>SUM(Y818:AL818)</f>
        <v>0</v>
      </c>
    </row>
    <row r="819" spans="1:39" hidden="1" outlineLevel="1">
      <c r="A819" s="527"/>
      <c r="B819" s="294" t="s">
        <v>342</v>
      </c>
      <c r="C819" s="291" t="s">
        <v>163</v>
      </c>
      <c r="D819" s="295"/>
      <c r="E819" s="295"/>
      <c r="F819" s="295"/>
      <c r="G819" s="295"/>
      <c r="H819" s="295"/>
      <c r="I819" s="295"/>
      <c r="J819" s="295"/>
      <c r="K819" s="295"/>
      <c r="L819" s="295"/>
      <c r="M819" s="295"/>
      <c r="N819" s="295">
        <f>N818</f>
        <v>12</v>
      </c>
      <c r="O819" s="295"/>
      <c r="P819" s="295"/>
      <c r="Q819" s="295"/>
      <c r="R819" s="295"/>
      <c r="S819" s="295"/>
      <c r="T819" s="295"/>
      <c r="U819" s="295"/>
      <c r="V819" s="295"/>
      <c r="W819" s="295"/>
      <c r="X819" s="295"/>
      <c r="Y819" s="410">
        <f>Y818</f>
        <v>0</v>
      </c>
      <c r="Z819" s="410">
        <f t="shared" ref="Z819" si="2395">Z818</f>
        <v>0</v>
      </c>
      <c r="AA819" s="410">
        <f t="shared" ref="AA819" si="2396">AA818</f>
        <v>0</v>
      </c>
      <c r="AB819" s="410">
        <f t="shared" ref="AB819" si="2397">AB818</f>
        <v>0</v>
      </c>
      <c r="AC819" s="410">
        <f t="shared" ref="AC819" si="2398">AC818</f>
        <v>0</v>
      </c>
      <c r="AD819" s="410">
        <f t="shared" ref="AD819" si="2399">AD818</f>
        <v>0</v>
      </c>
      <c r="AE819" s="410">
        <f t="shared" ref="AE819" si="2400">AE818</f>
        <v>0</v>
      </c>
      <c r="AF819" s="410">
        <f t="shared" ref="AF819" si="2401">AF818</f>
        <v>0</v>
      </c>
      <c r="AG819" s="410">
        <f t="shared" ref="AG819" si="2402">AG818</f>
        <v>0</v>
      </c>
      <c r="AH819" s="410">
        <f t="shared" ref="AH819" si="2403">AH818</f>
        <v>0</v>
      </c>
      <c r="AI819" s="410">
        <f t="shared" ref="AI819" si="2404">AI818</f>
        <v>0</v>
      </c>
      <c r="AJ819" s="410">
        <f t="shared" ref="AJ819" si="2405">AJ818</f>
        <v>0</v>
      </c>
      <c r="AK819" s="410">
        <f t="shared" ref="AK819" si="2406">AK818</f>
        <v>0</v>
      </c>
      <c r="AL819" s="410">
        <f t="shared" ref="AL819" si="2407">AL818</f>
        <v>0</v>
      </c>
      <c r="AM819" s="311"/>
    </row>
    <row r="820" spans="1:39" hidden="1" outlineLevel="1">
      <c r="A820" s="527"/>
      <c r="B820" s="314"/>
      <c r="C820" s="312"/>
      <c r="D820" s="316"/>
      <c r="E820" s="316"/>
      <c r="F820" s="316"/>
      <c r="G820" s="316"/>
      <c r="H820" s="316"/>
      <c r="I820" s="316"/>
      <c r="J820" s="316"/>
      <c r="K820" s="316"/>
      <c r="L820" s="316"/>
      <c r="M820" s="316"/>
      <c r="N820" s="291"/>
      <c r="O820" s="316"/>
      <c r="P820" s="316"/>
      <c r="Q820" s="316"/>
      <c r="R820" s="316"/>
      <c r="S820" s="316"/>
      <c r="T820" s="316"/>
      <c r="U820" s="316"/>
      <c r="V820" s="316"/>
      <c r="W820" s="316"/>
      <c r="X820" s="316"/>
      <c r="Y820" s="415"/>
      <c r="Z820" s="415"/>
      <c r="AA820" s="415"/>
      <c r="AB820" s="415"/>
      <c r="AC820" s="415"/>
      <c r="AD820" s="415"/>
      <c r="AE820" s="415"/>
      <c r="AF820" s="415"/>
      <c r="AG820" s="415"/>
      <c r="AH820" s="415"/>
      <c r="AI820" s="415"/>
      <c r="AJ820" s="415"/>
      <c r="AK820" s="415"/>
      <c r="AL820" s="415"/>
      <c r="AM820" s="313"/>
    </row>
    <row r="821" spans="1:39" ht="45" hidden="1" outlineLevel="1">
      <c r="A821" s="527">
        <v>10</v>
      </c>
      <c r="B821" s="425" t="s">
        <v>103</v>
      </c>
      <c r="C821" s="291" t="s">
        <v>25</v>
      </c>
      <c r="D821" s="295"/>
      <c r="E821" s="295"/>
      <c r="F821" s="295"/>
      <c r="G821" s="295"/>
      <c r="H821" s="295"/>
      <c r="I821" s="295"/>
      <c r="J821" s="295"/>
      <c r="K821" s="295"/>
      <c r="L821" s="295"/>
      <c r="M821" s="295"/>
      <c r="N821" s="295">
        <v>3</v>
      </c>
      <c r="O821" s="295"/>
      <c r="P821" s="295"/>
      <c r="Q821" s="295"/>
      <c r="R821" s="295"/>
      <c r="S821" s="295"/>
      <c r="T821" s="295"/>
      <c r="U821" s="295"/>
      <c r="V821" s="295"/>
      <c r="W821" s="295"/>
      <c r="X821" s="295"/>
      <c r="Y821" s="414"/>
      <c r="Z821" s="414"/>
      <c r="AA821" s="414"/>
      <c r="AB821" s="414"/>
      <c r="AC821" s="414"/>
      <c r="AD821" s="414"/>
      <c r="AE821" s="414"/>
      <c r="AF821" s="414"/>
      <c r="AG821" s="414"/>
      <c r="AH821" s="414"/>
      <c r="AI821" s="414"/>
      <c r="AJ821" s="414"/>
      <c r="AK821" s="414"/>
      <c r="AL821" s="414"/>
      <c r="AM821" s="296">
        <f>SUM(Y821:AL821)</f>
        <v>0</v>
      </c>
    </row>
    <row r="822" spans="1:39" hidden="1" outlineLevel="1">
      <c r="A822" s="527"/>
      <c r="B822" s="294" t="s">
        <v>342</v>
      </c>
      <c r="C822" s="291" t="s">
        <v>163</v>
      </c>
      <c r="D822" s="295"/>
      <c r="E822" s="295"/>
      <c r="F822" s="295"/>
      <c r="G822" s="295"/>
      <c r="H822" s="295"/>
      <c r="I822" s="295"/>
      <c r="J822" s="295"/>
      <c r="K822" s="295"/>
      <c r="L822" s="295"/>
      <c r="M822" s="295"/>
      <c r="N822" s="295">
        <f>N821</f>
        <v>3</v>
      </c>
      <c r="O822" s="295"/>
      <c r="P822" s="295"/>
      <c r="Q822" s="295"/>
      <c r="R822" s="295"/>
      <c r="S822" s="295"/>
      <c r="T822" s="295"/>
      <c r="U822" s="295"/>
      <c r="V822" s="295"/>
      <c r="W822" s="295"/>
      <c r="X822" s="295"/>
      <c r="Y822" s="410">
        <f>Y821</f>
        <v>0</v>
      </c>
      <c r="Z822" s="410">
        <f t="shared" ref="Z822" si="2408">Z821</f>
        <v>0</v>
      </c>
      <c r="AA822" s="410">
        <f t="shared" ref="AA822" si="2409">AA821</f>
        <v>0</v>
      </c>
      <c r="AB822" s="410">
        <f t="shared" ref="AB822" si="2410">AB821</f>
        <v>0</v>
      </c>
      <c r="AC822" s="410">
        <f t="shared" ref="AC822" si="2411">AC821</f>
        <v>0</v>
      </c>
      <c r="AD822" s="410">
        <f t="shared" ref="AD822" si="2412">AD821</f>
        <v>0</v>
      </c>
      <c r="AE822" s="410">
        <f t="shared" ref="AE822" si="2413">AE821</f>
        <v>0</v>
      </c>
      <c r="AF822" s="410">
        <f t="shared" ref="AF822" si="2414">AF821</f>
        <v>0</v>
      </c>
      <c r="AG822" s="410">
        <f t="shared" ref="AG822" si="2415">AG821</f>
        <v>0</v>
      </c>
      <c r="AH822" s="410">
        <f t="shared" ref="AH822" si="2416">AH821</f>
        <v>0</v>
      </c>
      <c r="AI822" s="410">
        <f t="shared" ref="AI822" si="2417">AI821</f>
        <v>0</v>
      </c>
      <c r="AJ822" s="410">
        <f t="shared" ref="AJ822" si="2418">AJ821</f>
        <v>0</v>
      </c>
      <c r="AK822" s="410">
        <f t="shared" ref="AK822" si="2419">AK821</f>
        <v>0</v>
      </c>
      <c r="AL822" s="410">
        <f t="shared" ref="AL822" si="2420">AL821</f>
        <v>0</v>
      </c>
      <c r="AM822" s="311"/>
    </row>
    <row r="823" spans="1:39" hidden="1" outlineLevel="1">
      <c r="A823" s="527"/>
      <c r="B823" s="314"/>
      <c r="C823" s="312"/>
      <c r="D823" s="316"/>
      <c r="E823" s="316"/>
      <c r="F823" s="316"/>
      <c r="G823" s="316"/>
      <c r="H823" s="316"/>
      <c r="I823" s="316"/>
      <c r="J823" s="316"/>
      <c r="K823" s="316"/>
      <c r="L823" s="316"/>
      <c r="M823" s="316"/>
      <c r="N823" s="291"/>
      <c r="O823" s="316"/>
      <c r="P823" s="316"/>
      <c r="Q823" s="316"/>
      <c r="R823" s="316"/>
      <c r="S823" s="316"/>
      <c r="T823" s="316"/>
      <c r="U823" s="316"/>
      <c r="V823" s="316"/>
      <c r="W823" s="316"/>
      <c r="X823" s="316"/>
      <c r="Y823" s="415"/>
      <c r="Z823" s="416"/>
      <c r="AA823" s="415"/>
      <c r="AB823" s="415"/>
      <c r="AC823" s="415"/>
      <c r="AD823" s="415"/>
      <c r="AE823" s="415"/>
      <c r="AF823" s="415"/>
      <c r="AG823" s="415"/>
      <c r="AH823" s="415"/>
      <c r="AI823" s="415"/>
      <c r="AJ823" s="415"/>
      <c r="AK823" s="415"/>
      <c r="AL823" s="415"/>
      <c r="AM823" s="313"/>
    </row>
    <row r="824" spans="1:39" ht="15.75" hidden="1" outlineLevel="1">
      <c r="A824" s="527"/>
      <c r="B824" s="288" t="s">
        <v>10</v>
      </c>
      <c r="C824" s="289"/>
      <c r="D824" s="289"/>
      <c r="E824" s="289"/>
      <c r="F824" s="289"/>
      <c r="G824" s="289"/>
      <c r="H824" s="289"/>
      <c r="I824" s="289"/>
      <c r="J824" s="289"/>
      <c r="K824" s="289"/>
      <c r="L824" s="289"/>
      <c r="M824" s="289"/>
      <c r="N824" s="290"/>
      <c r="O824" s="289"/>
      <c r="P824" s="289"/>
      <c r="Q824" s="289"/>
      <c r="R824" s="289"/>
      <c r="S824" s="289"/>
      <c r="T824" s="289"/>
      <c r="U824" s="289"/>
      <c r="V824" s="289"/>
      <c r="W824" s="289"/>
      <c r="X824" s="289"/>
      <c r="Y824" s="413"/>
      <c r="Z824" s="413"/>
      <c r="AA824" s="413"/>
      <c r="AB824" s="413"/>
      <c r="AC824" s="413"/>
      <c r="AD824" s="413"/>
      <c r="AE824" s="413"/>
      <c r="AF824" s="413"/>
      <c r="AG824" s="413"/>
      <c r="AH824" s="413"/>
      <c r="AI824" s="413"/>
      <c r="AJ824" s="413"/>
      <c r="AK824" s="413"/>
      <c r="AL824" s="413"/>
      <c r="AM824" s="292"/>
    </row>
    <row r="825" spans="1:39" ht="45" hidden="1" outlineLevel="1">
      <c r="A825" s="527">
        <v>11</v>
      </c>
      <c r="B825" s="425" t="s">
        <v>104</v>
      </c>
      <c r="C825" s="291" t="s">
        <v>25</v>
      </c>
      <c r="D825" s="295"/>
      <c r="E825" s="295"/>
      <c r="F825" s="295"/>
      <c r="G825" s="295"/>
      <c r="H825" s="295"/>
      <c r="I825" s="295"/>
      <c r="J825" s="295"/>
      <c r="K825" s="295"/>
      <c r="L825" s="295"/>
      <c r="M825" s="295"/>
      <c r="N825" s="295">
        <v>12</v>
      </c>
      <c r="O825" s="295"/>
      <c r="P825" s="295"/>
      <c r="Q825" s="295"/>
      <c r="R825" s="295"/>
      <c r="S825" s="295"/>
      <c r="T825" s="295"/>
      <c r="U825" s="295"/>
      <c r="V825" s="295"/>
      <c r="W825" s="295"/>
      <c r="X825" s="295"/>
      <c r="Y825" s="423"/>
      <c r="Z825" s="414"/>
      <c r="AA825" s="414"/>
      <c r="AB825" s="414"/>
      <c r="AC825" s="414"/>
      <c r="AD825" s="414"/>
      <c r="AE825" s="414"/>
      <c r="AF825" s="414"/>
      <c r="AG825" s="414"/>
      <c r="AH825" s="414"/>
      <c r="AI825" s="414"/>
      <c r="AJ825" s="414"/>
      <c r="AK825" s="414"/>
      <c r="AL825" s="414"/>
      <c r="AM825" s="296">
        <f>SUM(Y825:AL825)</f>
        <v>0</v>
      </c>
    </row>
    <row r="826" spans="1:39" hidden="1" outlineLevel="1">
      <c r="A826" s="527"/>
      <c r="B826" s="294" t="s">
        <v>342</v>
      </c>
      <c r="C826" s="291" t="s">
        <v>163</v>
      </c>
      <c r="D826" s="295"/>
      <c r="E826" s="295"/>
      <c r="F826" s="295"/>
      <c r="G826" s="295"/>
      <c r="H826" s="295"/>
      <c r="I826" s="295"/>
      <c r="J826" s="295"/>
      <c r="K826" s="295"/>
      <c r="L826" s="295"/>
      <c r="M826" s="295"/>
      <c r="N826" s="295">
        <f>N825</f>
        <v>12</v>
      </c>
      <c r="O826" s="295"/>
      <c r="P826" s="295"/>
      <c r="Q826" s="295"/>
      <c r="R826" s="295"/>
      <c r="S826" s="295"/>
      <c r="T826" s="295"/>
      <c r="U826" s="295"/>
      <c r="V826" s="295"/>
      <c r="W826" s="295"/>
      <c r="X826" s="295"/>
      <c r="Y826" s="410">
        <f>Y825</f>
        <v>0</v>
      </c>
      <c r="Z826" s="410">
        <f t="shared" ref="Z826" si="2421">Z825</f>
        <v>0</v>
      </c>
      <c r="AA826" s="410">
        <f t="shared" ref="AA826" si="2422">AA825</f>
        <v>0</v>
      </c>
      <c r="AB826" s="410">
        <f t="shared" ref="AB826" si="2423">AB825</f>
        <v>0</v>
      </c>
      <c r="AC826" s="410">
        <f t="shared" ref="AC826" si="2424">AC825</f>
        <v>0</v>
      </c>
      <c r="AD826" s="410">
        <f t="shared" ref="AD826" si="2425">AD825</f>
        <v>0</v>
      </c>
      <c r="AE826" s="410">
        <f t="shared" ref="AE826" si="2426">AE825</f>
        <v>0</v>
      </c>
      <c r="AF826" s="410">
        <f t="shared" ref="AF826" si="2427">AF825</f>
        <v>0</v>
      </c>
      <c r="AG826" s="410">
        <f t="shared" ref="AG826" si="2428">AG825</f>
        <v>0</v>
      </c>
      <c r="AH826" s="410">
        <f t="shared" ref="AH826" si="2429">AH825</f>
        <v>0</v>
      </c>
      <c r="AI826" s="410">
        <f t="shared" ref="AI826" si="2430">AI825</f>
        <v>0</v>
      </c>
      <c r="AJ826" s="410">
        <f t="shared" ref="AJ826" si="2431">AJ825</f>
        <v>0</v>
      </c>
      <c r="AK826" s="410">
        <f t="shared" ref="AK826" si="2432">AK825</f>
        <v>0</v>
      </c>
      <c r="AL826" s="410">
        <f t="shared" ref="AL826" si="2433">AL825</f>
        <v>0</v>
      </c>
      <c r="AM826" s="297"/>
    </row>
    <row r="827" spans="1:39" hidden="1" outlineLevel="1">
      <c r="A827" s="527"/>
      <c r="B827" s="315"/>
      <c r="C827" s="305"/>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1"/>
      <c r="Z827" s="418"/>
      <c r="AA827" s="418"/>
      <c r="AB827" s="418"/>
      <c r="AC827" s="418"/>
      <c r="AD827" s="418"/>
      <c r="AE827" s="418"/>
      <c r="AF827" s="418"/>
      <c r="AG827" s="418"/>
      <c r="AH827" s="418"/>
      <c r="AI827" s="418"/>
      <c r="AJ827" s="418"/>
      <c r="AK827" s="418"/>
      <c r="AL827" s="418"/>
      <c r="AM827" s="306"/>
    </row>
    <row r="828" spans="1:39" ht="60" hidden="1" outlineLevel="1">
      <c r="A828" s="527">
        <v>12</v>
      </c>
      <c r="B828" s="425" t="s">
        <v>105</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09"/>
      <c r="Z828" s="414"/>
      <c r="AA828" s="414"/>
      <c r="AB828" s="414"/>
      <c r="AC828" s="414"/>
      <c r="AD828" s="414"/>
      <c r="AE828" s="414"/>
      <c r="AF828" s="414"/>
      <c r="AG828" s="414"/>
      <c r="AH828" s="414"/>
      <c r="AI828" s="414"/>
      <c r="AJ828" s="414"/>
      <c r="AK828" s="414"/>
      <c r="AL828" s="414"/>
      <c r="AM828" s="296">
        <f>SUM(Y828:AL828)</f>
        <v>0</v>
      </c>
    </row>
    <row r="829" spans="1:39" hidden="1" outlineLevel="1">
      <c r="A829" s="527"/>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0">
        <f>Y828</f>
        <v>0</v>
      </c>
      <c r="Z829" s="410">
        <f t="shared" ref="Z829" si="2434">Z828</f>
        <v>0</v>
      </c>
      <c r="AA829" s="410">
        <f t="shared" ref="AA829" si="2435">AA828</f>
        <v>0</v>
      </c>
      <c r="AB829" s="410">
        <f t="shared" ref="AB829" si="2436">AB828</f>
        <v>0</v>
      </c>
      <c r="AC829" s="410">
        <f t="shared" ref="AC829" si="2437">AC828</f>
        <v>0</v>
      </c>
      <c r="AD829" s="410">
        <f t="shared" ref="AD829" si="2438">AD828</f>
        <v>0</v>
      </c>
      <c r="AE829" s="410">
        <f t="shared" ref="AE829" si="2439">AE828</f>
        <v>0</v>
      </c>
      <c r="AF829" s="410">
        <f t="shared" ref="AF829" si="2440">AF828</f>
        <v>0</v>
      </c>
      <c r="AG829" s="410">
        <f t="shared" ref="AG829" si="2441">AG828</f>
        <v>0</v>
      </c>
      <c r="AH829" s="410">
        <f t="shared" ref="AH829" si="2442">AH828</f>
        <v>0</v>
      </c>
      <c r="AI829" s="410">
        <f t="shared" ref="AI829" si="2443">AI828</f>
        <v>0</v>
      </c>
      <c r="AJ829" s="410">
        <f t="shared" ref="AJ829" si="2444">AJ828</f>
        <v>0</v>
      </c>
      <c r="AK829" s="410">
        <f t="shared" ref="AK829" si="2445">AK828</f>
        <v>0</v>
      </c>
      <c r="AL829" s="410">
        <f t="shared" ref="AL829" si="2446">AL828</f>
        <v>0</v>
      </c>
      <c r="AM829" s="297"/>
    </row>
    <row r="830" spans="1:39" hidden="1" outlineLevel="1">
      <c r="A830" s="527"/>
      <c r="B830" s="315"/>
      <c r="C830" s="305"/>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9"/>
      <c r="Z830" s="419"/>
      <c r="AA830" s="411"/>
      <c r="AB830" s="411"/>
      <c r="AC830" s="411"/>
      <c r="AD830" s="411"/>
      <c r="AE830" s="411"/>
      <c r="AF830" s="411"/>
      <c r="AG830" s="411"/>
      <c r="AH830" s="411"/>
      <c r="AI830" s="411"/>
      <c r="AJ830" s="411"/>
      <c r="AK830" s="411"/>
      <c r="AL830" s="411"/>
      <c r="AM830" s="306"/>
    </row>
    <row r="831" spans="1:39" ht="45" hidden="1" outlineLevel="1">
      <c r="A831" s="527">
        <v>13</v>
      </c>
      <c r="B831" s="425" t="s">
        <v>106</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09"/>
      <c r="Z831" s="414"/>
      <c r="AA831" s="414"/>
      <c r="AB831" s="414"/>
      <c r="AC831" s="414"/>
      <c r="AD831" s="414"/>
      <c r="AE831" s="414"/>
      <c r="AF831" s="414"/>
      <c r="AG831" s="414"/>
      <c r="AH831" s="414"/>
      <c r="AI831" s="414"/>
      <c r="AJ831" s="414"/>
      <c r="AK831" s="414"/>
      <c r="AL831" s="414"/>
      <c r="AM831" s="296">
        <f>SUM(Y831:AL831)</f>
        <v>0</v>
      </c>
    </row>
    <row r="832" spans="1:39" hidden="1" outlineLevel="1">
      <c r="A832" s="527"/>
      <c r="B832" s="294" t="s">
        <v>342</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0">
        <f>Y831</f>
        <v>0</v>
      </c>
      <c r="Z832" s="410">
        <f t="shared" ref="Z832" si="2447">Z831</f>
        <v>0</v>
      </c>
      <c r="AA832" s="410">
        <f t="shared" ref="AA832" si="2448">AA831</f>
        <v>0</v>
      </c>
      <c r="AB832" s="410">
        <f t="shared" ref="AB832" si="2449">AB831</f>
        <v>0</v>
      </c>
      <c r="AC832" s="410">
        <f t="shared" ref="AC832" si="2450">AC831</f>
        <v>0</v>
      </c>
      <c r="AD832" s="410">
        <f t="shared" ref="AD832" si="2451">AD831</f>
        <v>0</v>
      </c>
      <c r="AE832" s="410">
        <f t="shared" ref="AE832" si="2452">AE831</f>
        <v>0</v>
      </c>
      <c r="AF832" s="410">
        <f t="shared" ref="AF832" si="2453">AF831</f>
        <v>0</v>
      </c>
      <c r="AG832" s="410">
        <f t="shared" ref="AG832" si="2454">AG831</f>
        <v>0</v>
      </c>
      <c r="AH832" s="410">
        <f t="shared" ref="AH832" si="2455">AH831</f>
        <v>0</v>
      </c>
      <c r="AI832" s="410">
        <f t="shared" ref="AI832" si="2456">AI831</f>
        <v>0</v>
      </c>
      <c r="AJ832" s="410">
        <f t="shared" ref="AJ832" si="2457">AJ831</f>
        <v>0</v>
      </c>
      <c r="AK832" s="410">
        <f t="shared" ref="AK832" si="2458">AK831</f>
        <v>0</v>
      </c>
      <c r="AL832" s="410">
        <f t="shared" ref="AL832" si="2459">AL831</f>
        <v>0</v>
      </c>
      <c r="AM832" s="306"/>
    </row>
    <row r="833" spans="1:39" hidden="1" outlineLevel="1">
      <c r="A833" s="527"/>
      <c r="B833" s="315"/>
      <c r="C833" s="305"/>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11"/>
      <c r="Z833" s="411"/>
      <c r="AA833" s="411"/>
      <c r="AB833" s="411"/>
      <c r="AC833" s="411"/>
      <c r="AD833" s="411"/>
      <c r="AE833" s="411"/>
      <c r="AF833" s="411"/>
      <c r="AG833" s="411"/>
      <c r="AH833" s="411"/>
      <c r="AI833" s="411"/>
      <c r="AJ833" s="411"/>
      <c r="AK833" s="411"/>
      <c r="AL833" s="411"/>
      <c r="AM833" s="306"/>
    </row>
    <row r="834" spans="1:39" ht="15.75" hidden="1" outlineLevel="1">
      <c r="A834" s="527"/>
      <c r="B834" s="288" t="s">
        <v>107</v>
      </c>
      <c r="C834" s="289"/>
      <c r="D834" s="290"/>
      <c r="E834" s="290"/>
      <c r="F834" s="290"/>
      <c r="G834" s="290"/>
      <c r="H834" s="290"/>
      <c r="I834" s="290"/>
      <c r="J834" s="290"/>
      <c r="K834" s="290"/>
      <c r="L834" s="290"/>
      <c r="M834" s="290"/>
      <c r="N834" s="290"/>
      <c r="O834" s="290"/>
      <c r="P834" s="289"/>
      <c r="Q834" s="289"/>
      <c r="R834" s="289"/>
      <c r="S834" s="289"/>
      <c r="T834" s="289"/>
      <c r="U834" s="289"/>
      <c r="V834" s="289"/>
      <c r="W834" s="289"/>
      <c r="X834" s="289"/>
      <c r="Y834" s="413"/>
      <c r="Z834" s="413"/>
      <c r="AA834" s="413"/>
      <c r="AB834" s="413"/>
      <c r="AC834" s="413"/>
      <c r="AD834" s="413"/>
      <c r="AE834" s="413"/>
      <c r="AF834" s="413"/>
      <c r="AG834" s="413"/>
      <c r="AH834" s="413"/>
      <c r="AI834" s="413"/>
      <c r="AJ834" s="413"/>
      <c r="AK834" s="413"/>
      <c r="AL834" s="413"/>
      <c r="AM834" s="292"/>
    </row>
    <row r="835" spans="1:39" hidden="1" outlineLevel="1">
      <c r="A835" s="527">
        <v>14</v>
      </c>
      <c r="B835" s="315" t="s">
        <v>108</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14"/>
      <c r="Z835" s="414"/>
      <c r="AA835" s="414"/>
      <c r="AB835" s="414"/>
      <c r="AC835" s="414"/>
      <c r="AD835" s="414"/>
      <c r="AE835" s="414"/>
      <c r="AF835" s="409"/>
      <c r="AG835" s="409"/>
      <c r="AH835" s="409"/>
      <c r="AI835" s="409"/>
      <c r="AJ835" s="409"/>
      <c r="AK835" s="409"/>
      <c r="AL835" s="409"/>
      <c r="AM835" s="296">
        <f>SUM(Y835:AL835)</f>
        <v>0</v>
      </c>
    </row>
    <row r="836" spans="1:39" hidden="1" outlineLevel="1">
      <c r="A836" s="527"/>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0">
        <f>Y835</f>
        <v>0</v>
      </c>
      <c r="Z836" s="410">
        <f t="shared" ref="Z836" si="2460">Z835</f>
        <v>0</v>
      </c>
      <c r="AA836" s="410">
        <f t="shared" ref="AA836" si="2461">AA835</f>
        <v>0</v>
      </c>
      <c r="AB836" s="410">
        <f t="shared" ref="AB836" si="2462">AB835</f>
        <v>0</v>
      </c>
      <c r="AC836" s="410">
        <f t="shared" ref="AC836" si="2463">AC835</f>
        <v>0</v>
      </c>
      <c r="AD836" s="410">
        <f t="shared" ref="AD836" si="2464">AD835</f>
        <v>0</v>
      </c>
      <c r="AE836" s="410">
        <f t="shared" ref="AE836" si="2465">AE835</f>
        <v>0</v>
      </c>
      <c r="AF836" s="410">
        <f t="shared" ref="AF836" si="2466">AF835</f>
        <v>0</v>
      </c>
      <c r="AG836" s="410">
        <f t="shared" ref="AG836" si="2467">AG835</f>
        <v>0</v>
      </c>
      <c r="AH836" s="410">
        <f t="shared" ref="AH836" si="2468">AH835</f>
        <v>0</v>
      </c>
      <c r="AI836" s="410">
        <f t="shared" ref="AI836" si="2469">AI835</f>
        <v>0</v>
      </c>
      <c r="AJ836" s="410">
        <f t="shared" ref="AJ836" si="2470">AJ835</f>
        <v>0</v>
      </c>
      <c r="AK836" s="410">
        <f t="shared" ref="AK836" si="2471">AK835</f>
        <v>0</v>
      </c>
      <c r="AL836" s="410">
        <f t="shared" ref="AL836" si="2472">AL835</f>
        <v>0</v>
      </c>
      <c r="AM836" s="297"/>
    </row>
    <row r="837" spans="1:39" hidden="1" outlineLevel="1">
      <c r="A837" s="527"/>
      <c r="B837" s="315"/>
      <c r="C837" s="305"/>
      <c r="D837" s="291"/>
      <c r="E837" s="291"/>
      <c r="F837" s="291"/>
      <c r="G837" s="291"/>
      <c r="H837" s="291"/>
      <c r="I837" s="291"/>
      <c r="J837" s="291"/>
      <c r="K837" s="291"/>
      <c r="L837" s="291"/>
      <c r="M837" s="291"/>
      <c r="N837" s="464"/>
      <c r="O837" s="291"/>
      <c r="P837" s="291"/>
      <c r="Q837" s="291"/>
      <c r="R837" s="291"/>
      <c r="S837" s="291"/>
      <c r="T837" s="291"/>
      <c r="U837" s="291"/>
      <c r="V837" s="291"/>
      <c r="W837" s="291"/>
      <c r="X837" s="291"/>
      <c r="Y837" s="411"/>
      <c r="Z837" s="411"/>
      <c r="AA837" s="411"/>
      <c r="AB837" s="411"/>
      <c r="AC837" s="411"/>
      <c r="AD837" s="411"/>
      <c r="AE837" s="411"/>
      <c r="AF837" s="411"/>
      <c r="AG837" s="411"/>
      <c r="AH837" s="411"/>
      <c r="AI837" s="411"/>
      <c r="AJ837" s="411"/>
      <c r="AK837" s="411"/>
      <c r="AL837" s="411"/>
      <c r="AM837" s="306"/>
    </row>
    <row r="838" spans="1:39" s="309" customFormat="1" ht="15.75" hidden="1" outlineLevel="1">
      <c r="A838" s="527"/>
      <c r="B838" s="288" t="s">
        <v>490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1"/>
      <c r="Z838" s="411"/>
      <c r="AA838" s="411"/>
      <c r="AB838" s="411"/>
      <c r="AC838" s="411"/>
      <c r="AD838" s="411"/>
      <c r="AE838" s="415"/>
      <c r="AF838" s="415"/>
      <c r="AG838" s="415"/>
      <c r="AH838" s="415"/>
      <c r="AI838" s="415"/>
      <c r="AJ838" s="415"/>
      <c r="AK838" s="415"/>
      <c r="AL838" s="415"/>
      <c r="AM838" s="512"/>
    </row>
    <row r="839" spans="1:39" hidden="1" outlineLevel="1">
      <c r="A839" s="527">
        <v>15</v>
      </c>
      <c r="B839" s="294" t="s">
        <v>495</v>
      </c>
      <c r="C839" s="291" t="s">
        <v>25</v>
      </c>
      <c r="D839" s="295"/>
      <c r="E839" s="295"/>
      <c r="F839" s="295"/>
      <c r="G839" s="295"/>
      <c r="H839" s="295"/>
      <c r="I839" s="295"/>
      <c r="J839" s="295"/>
      <c r="K839" s="295"/>
      <c r="L839" s="295"/>
      <c r="M839" s="295"/>
      <c r="N839" s="295">
        <v>0</v>
      </c>
      <c r="O839" s="295"/>
      <c r="P839" s="295"/>
      <c r="Q839" s="295"/>
      <c r="R839" s="295"/>
      <c r="S839" s="295"/>
      <c r="T839" s="295"/>
      <c r="U839" s="295"/>
      <c r="V839" s="295"/>
      <c r="W839" s="295"/>
      <c r="X839" s="295"/>
      <c r="Y839" s="414"/>
      <c r="Z839" s="414"/>
      <c r="AA839" s="414"/>
      <c r="AB839" s="414"/>
      <c r="AC839" s="414"/>
      <c r="AD839" s="414"/>
      <c r="AE839" s="414"/>
      <c r="AF839" s="409"/>
      <c r="AG839" s="409"/>
      <c r="AH839" s="409"/>
      <c r="AI839" s="409"/>
      <c r="AJ839" s="409"/>
      <c r="AK839" s="409"/>
      <c r="AL839" s="409"/>
      <c r="AM839" s="296">
        <f>SUM(Y839:AL839)</f>
        <v>0</v>
      </c>
    </row>
    <row r="840" spans="1:39" hidden="1" outlineLevel="1">
      <c r="A840" s="527"/>
      <c r="B840" s="294" t="s">
        <v>342</v>
      </c>
      <c r="C840" s="291" t="s">
        <v>163</v>
      </c>
      <c r="D840" s="295"/>
      <c r="E840" s="295"/>
      <c r="F840" s="295"/>
      <c r="G840" s="295"/>
      <c r="H840" s="295"/>
      <c r="I840" s="295"/>
      <c r="J840" s="295"/>
      <c r="K840" s="295"/>
      <c r="L840" s="295"/>
      <c r="M840" s="295"/>
      <c r="N840" s="295">
        <f>N839</f>
        <v>0</v>
      </c>
      <c r="O840" s="295"/>
      <c r="P840" s="295"/>
      <c r="Q840" s="295"/>
      <c r="R840" s="295"/>
      <c r="S840" s="295"/>
      <c r="T840" s="295"/>
      <c r="U840" s="295"/>
      <c r="V840" s="295"/>
      <c r="W840" s="295"/>
      <c r="X840" s="295"/>
      <c r="Y840" s="410">
        <f>Y839</f>
        <v>0</v>
      </c>
      <c r="Z840" s="410">
        <f t="shared" ref="Z840:AL840" si="2473">Z839</f>
        <v>0</v>
      </c>
      <c r="AA840" s="410">
        <f t="shared" si="2473"/>
        <v>0</v>
      </c>
      <c r="AB840" s="410">
        <f t="shared" si="2473"/>
        <v>0</v>
      </c>
      <c r="AC840" s="410">
        <f t="shared" si="2473"/>
        <v>0</v>
      </c>
      <c r="AD840" s="410">
        <f t="shared" si="2473"/>
        <v>0</v>
      </c>
      <c r="AE840" s="410">
        <f t="shared" si="2473"/>
        <v>0</v>
      </c>
      <c r="AF840" s="410">
        <f t="shared" si="2473"/>
        <v>0</v>
      </c>
      <c r="AG840" s="410">
        <f t="shared" si="2473"/>
        <v>0</v>
      </c>
      <c r="AH840" s="410">
        <f t="shared" si="2473"/>
        <v>0</v>
      </c>
      <c r="AI840" s="410">
        <f t="shared" si="2473"/>
        <v>0</v>
      </c>
      <c r="AJ840" s="410">
        <f t="shared" si="2473"/>
        <v>0</v>
      </c>
      <c r="AK840" s="410">
        <f t="shared" si="2473"/>
        <v>0</v>
      </c>
      <c r="AL840" s="410">
        <f t="shared" si="2473"/>
        <v>0</v>
      </c>
      <c r="AM840" s="297"/>
    </row>
    <row r="841" spans="1:39" hidden="1" outlineLevel="1">
      <c r="A841" s="527"/>
      <c r="B841" s="315"/>
      <c r="C841" s="305"/>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11"/>
      <c r="Z841" s="411"/>
      <c r="AA841" s="411"/>
      <c r="AB841" s="411"/>
      <c r="AC841" s="411"/>
      <c r="AD841" s="411"/>
      <c r="AE841" s="411"/>
      <c r="AF841" s="411"/>
      <c r="AG841" s="411"/>
      <c r="AH841" s="411"/>
      <c r="AI841" s="411"/>
      <c r="AJ841" s="411"/>
      <c r="AK841" s="411"/>
      <c r="AL841" s="411"/>
      <c r="AM841" s="306"/>
    </row>
    <row r="842" spans="1:39" s="283" customFormat="1" hidden="1" outlineLevel="1">
      <c r="A842" s="527">
        <v>16</v>
      </c>
      <c r="B842" s="323" t="s">
        <v>491</v>
      </c>
      <c r="C842" s="291" t="s">
        <v>25</v>
      </c>
      <c r="D842" s="295"/>
      <c r="E842" s="295"/>
      <c r="F842" s="295"/>
      <c r="G842" s="295"/>
      <c r="H842" s="295"/>
      <c r="I842" s="295"/>
      <c r="J842" s="295"/>
      <c r="K842" s="295"/>
      <c r="L842" s="295"/>
      <c r="M842" s="295"/>
      <c r="N842" s="295">
        <v>0</v>
      </c>
      <c r="O842" s="295"/>
      <c r="P842" s="295"/>
      <c r="Q842" s="295"/>
      <c r="R842" s="295"/>
      <c r="S842" s="295"/>
      <c r="T842" s="295"/>
      <c r="U842" s="295"/>
      <c r="V842" s="295"/>
      <c r="W842" s="295"/>
      <c r="X842" s="295"/>
      <c r="Y842" s="414"/>
      <c r="Z842" s="414"/>
      <c r="AA842" s="414"/>
      <c r="AB842" s="414"/>
      <c r="AC842" s="414"/>
      <c r="AD842" s="414"/>
      <c r="AE842" s="414"/>
      <c r="AF842" s="409"/>
      <c r="AG842" s="409"/>
      <c r="AH842" s="409"/>
      <c r="AI842" s="409"/>
      <c r="AJ842" s="409"/>
      <c r="AK842" s="409"/>
      <c r="AL842" s="409"/>
      <c r="AM842" s="296">
        <f>SUM(Y842:AL842)</f>
        <v>0</v>
      </c>
    </row>
    <row r="843" spans="1:39" s="283" customFormat="1" hidden="1" outlineLevel="1">
      <c r="A843" s="527"/>
      <c r="B843" s="294" t="s">
        <v>342</v>
      </c>
      <c r="C843" s="291" t="s">
        <v>163</v>
      </c>
      <c r="D843" s="295"/>
      <c r="E843" s="295"/>
      <c r="F843" s="295"/>
      <c r="G843" s="295"/>
      <c r="H843" s="295"/>
      <c r="I843" s="295"/>
      <c r="J843" s="295"/>
      <c r="K843" s="295"/>
      <c r="L843" s="295"/>
      <c r="M843" s="295"/>
      <c r="N843" s="295">
        <f>N842</f>
        <v>0</v>
      </c>
      <c r="O843" s="295"/>
      <c r="P843" s="295"/>
      <c r="Q843" s="295"/>
      <c r="R843" s="295"/>
      <c r="S843" s="295"/>
      <c r="T843" s="295"/>
      <c r="U843" s="295"/>
      <c r="V843" s="295"/>
      <c r="W843" s="295"/>
      <c r="X843" s="295"/>
      <c r="Y843" s="410">
        <f>Y842</f>
        <v>0</v>
      </c>
      <c r="Z843" s="410">
        <f t="shared" ref="Z843:AL843" si="2474">Z842</f>
        <v>0</v>
      </c>
      <c r="AA843" s="410">
        <f t="shared" si="2474"/>
        <v>0</v>
      </c>
      <c r="AB843" s="410">
        <f t="shared" si="2474"/>
        <v>0</v>
      </c>
      <c r="AC843" s="410">
        <f t="shared" si="2474"/>
        <v>0</v>
      </c>
      <c r="AD843" s="410">
        <f t="shared" si="2474"/>
        <v>0</v>
      </c>
      <c r="AE843" s="410">
        <f t="shared" si="2474"/>
        <v>0</v>
      </c>
      <c r="AF843" s="410">
        <f t="shared" si="2474"/>
        <v>0</v>
      </c>
      <c r="AG843" s="410">
        <f t="shared" si="2474"/>
        <v>0</v>
      </c>
      <c r="AH843" s="410">
        <f t="shared" si="2474"/>
        <v>0</v>
      </c>
      <c r="AI843" s="410">
        <f t="shared" si="2474"/>
        <v>0</v>
      </c>
      <c r="AJ843" s="410">
        <f t="shared" si="2474"/>
        <v>0</v>
      </c>
      <c r="AK843" s="410">
        <f t="shared" si="2474"/>
        <v>0</v>
      </c>
      <c r="AL843" s="410">
        <f t="shared" si="2474"/>
        <v>0</v>
      </c>
      <c r="AM843" s="297"/>
    </row>
    <row r="844" spans="1:39" s="283" customFormat="1" hidden="1" outlineLevel="1">
      <c r="A844" s="527"/>
      <c r="B844" s="323"/>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11"/>
      <c r="Z844" s="411"/>
      <c r="AA844" s="411"/>
      <c r="AB844" s="411"/>
      <c r="AC844" s="411"/>
      <c r="AD844" s="411"/>
      <c r="AE844" s="415"/>
      <c r="AF844" s="415"/>
      <c r="AG844" s="415"/>
      <c r="AH844" s="415"/>
      <c r="AI844" s="415"/>
      <c r="AJ844" s="415"/>
      <c r="AK844" s="415"/>
      <c r="AL844" s="415"/>
      <c r="AM844" s="313"/>
    </row>
    <row r="845" spans="1:39" ht="15.75" hidden="1" outlineLevel="1">
      <c r="A845" s="527"/>
      <c r="B845" s="514" t="s">
        <v>496</v>
      </c>
      <c r="C845" s="319"/>
      <c r="D845" s="290"/>
      <c r="E845" s="289"/>
      <c r="F845" s="289"/>
      <c r="G845" s="289"/>
      <c r="H845" s="289"/>
      <c r="I845" s="289"/>
      <c r="J845" s="289"/>
      <c r="K845" s="289"/>
      <c r="L845" s="289"/>
      <c r="M845" s="289"/>
      <c r="N845" s="290"/>
      <c r="O845" s="289"/>
      <c r="P845" s="289"/>
      <c r="Q845" s="289"/>
      <c r="R845" s="289"/>
      <c r="S845" s="289"/>
      <c r="T845" s="289"/>
      <c r="U845" s="289"/>
      <c r="V845" s="289"/>
      <c r="W845" s="289"/>
      <c r="X845" s="289"/>
      <c r="Y845" s="413"/>
      <c r="Z845" s="413"/>
      <c r="AA845" s="413"/>
      <c r="AB845" s="413"/>
      <c r="AC845" s="413"/>
      <c r="AD845" s="413"/>
      <c r="AE845" s="413"/>
      <c r="AF845" s="413"/>
      <c r="AG845" s="413"/>
      <c r="AH845" s="413"/>
      <c r="AI845" s="413"/>
      <c r="AJ845" s="413"/>
      <c r="AK845" s="413"/>
      <c r="AL845" s="413"/>
      <c r="AM845" s="292"/>
    </row>
    <row r="846" spans="1:39" ht="30" hidden="1" outlineLevel="1">
      <c r="A846" s="527">
        <v>17</v>
      </c>
      <c r="B846" s="425" t="s">
        <v>112</v>
      </c>
      <c r="C846" s="291" t="s">
        <v>25</v>
      </c>
      <c r="D846" s="295"/>
      <c r="E846" s="295"/>
      <c r="F846" s="295"/>
      <c r="G846" s="295"/>
      <c r="H846" s="295"/>
      <c r="I846" s="295"/>
      <c r="J846" s="295"/>
      <c r="K846" s="295"/>
      <c r="L846" s="295"/>
      <c r="M846" s="295"/>
      <c r="N846" s="295">
        <v>12</v>
      </c>
      <c r="O846" s="295"/>
      <c r="P846" s="295"/>
      <c r="Q846" s="295"/>
      <c r="R846" s="295"/>
      <c r="S846" s="295"/>
      <c r="T846" s="295"/>
      <c r="U846" s="295"/>
      <c r="V846" s="295"/>
      <c r="W846" s="295"/>
      <c r="X846" s="295"/>
      <c r="Y846" s="423"/>
      <c r="Z846" s="409"/>
      <c r="AA846" s="409"/>
      <c r="AB846" s="409"/>
      <c r="AC846" s="409"/>
      <c r="AD846" s="409"/>
      <c r="AE846" s="409"/>
      <c r="AF846" s="414"/>
      <c r="AG846" s="414"/>
      <c r="AH846" s="414"/>
      <c r="AI846" s="414"/>
      <c r="AJ846" s="414"/>
      <c r="AK846" s="414"/>
      <c r="AL846" s="414"/>
      <c r="AM846" s="296">
        <f>SUM(Y846:AL846)</f>
        <v>0</v>
      </c>
    </row>
    <row r="847" spans="1:39" hidden="1" outlineLevel="1">
      <c r="A847" s="527"/>
      <c r="B847" s="294" t="s">
        <v>342</v>
      </c>
      <c r="C847" s="291" t="s">
        <v>163</v>
      </c>
      <c r="D847" s="295"/>
      <c r="E847" s="295"/>
      <c r="F847" s="295"/>
      <c r="G847" s="295"/>
      <c r="H847" s="295"/>
      <c r="I847" s="295"/>
      <c r="J847" s="295"/>
      <c r="K847" s="295"/>
      <c r="L847" s="295"/>
      <c r="M847" s="295"/>
      <c r="N847" s="295">
        <f>N846</f>
        <v>12</v>
      </c>
      <c r="O847" s="295"/>
      <c r="P847" s="295"/>
      <c r="Q847" s="295"/>
      <c r="R847" s="295"/>
      <c r="S847" s="295"/>
      <c r="T847" s="295"/>
      <c r="U847" s="295"/>
      <c r="V847" s="295"/>
      <c r="W847" s="295"/>
      <c r="X847" s="295"/>
      <c r="Y847" s="410">
        <f>Y846</f>
        <v>0</v>
      </c>
      <c r="Z847" s="410">
        <f t="shared" ref="Z847:AL847" si="2475">Z846</f>
        <v>0</v>
      </c>
      <c r="AA847" s="410">
        <f t="shared" si="2475"/>
        <v>0</v>
      </c>
      <c r="AB847" s="410">
        <f t="shared" si="2475"/>
        <v>0</v>
      </c>
      <c r="AC847" s="410">
        <f t="shared" si="2475"/>
        <v>0</v>
      </c>
      <c r="AD847" s="410">
        <f t="shared" si="2475"/>
        <v>0</v>
      </c>
      <c r="AE847" s="410">
        <f t="shared" si="2475"/>
        <v>0</v>
      </c>
      <c r="AF847" s="410">
        <f t="shared" si="2475"/>
        <v>0</v>
      </c>
      <c r="AG847" s="410">
        <f t="shared" si="2475"/>
        <v>0</v>
      </c>
      <c r="AH847" s="410">
        <f t="shared" si="2475"/>
        <v>0</v>
      </c>
      <c r="AI847" s="410">
        <f t="shared" si="2475"/>
        <v>0</v>
      </c>
      <c r="AJ847" s="410">
        <f t="shared" si="2475"/>
        <v>0</v>
      </c>
      <c r="AK847" s="410">
        <f t="shared" si="2475"/>
        <v>0</v>
      </c>
      <c r="AL847" s="410">
        <f t="shared" si="2475"/>
        <v>0</v>
      </c>
      <c r="AM847" s="306"/>
    </row>
    <row r="848" spans="1:39" hidden="1" outlineLevel="1">
      <c r="A848" s="527"/>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9"/>
      <c r="Z848" s="422"/>
      <c r="AA848" s="422"/>
      <c r="AB848" s="422"/>
      <c r="AC848" s="422"/>
      <c r="AD848" s="422"/>
      <c r="AE848" s="422"/>
      <c r="AF848" s="422"/>
      <c r="AG848" s="422"/>
      <c r="AH848" s="422"/>
      <c r="AI848" s="422"/>
      <c r="AJ848" s="422"/>
      <c r="AK848" s="422"/>
      <c r="AL848" s="422"/>
      <c r="AM848" s="306"/>
    </row>
    <row r="849" spans="1:39" hidden="1" outlineLevel="1">
      <c r="A849" s="527">
        <v>18</v>
      </c>
      <c r="B849" s="425" t="s">
        <v>109</v>
      </c>
      <c r="C849" s="291" t="s">
        <v>25</v>
      </c>
      <c r="D849" s="295"/>
      <c r="E849" s="295"/>
      <c r="F849" s="295"/>
      <c r="G849" s="295"/>
      <c r="H849" s="295"/>
      <c r="I849" s="295"/>
      <c r="J849" s="295"/>
      <c r="K849" s="295"/>
      <c r="L849" s="295"/>
      <c r="M849" s="295"/>
      <c r="N849" s="295">
        <v>12</v>
      </c>
      <c r="O849" s="295"/>
      <c r="P849" s="295"/>
      <c r="Q849" s="295"/>
      <c r="R849" s="295"/>
      <c r="S849" s="295"/>
      <c r="T849" s="295"/>
      <c r="U849" s="295"/>
      <c r="V849" s="295"/>
      <c r="W849" s="295"/>
      <c r="X849" s="295"/>
      <c r="Y849" s="423"/>
      <c r="Z849" s="409"/>
      <c r="AA849" s="409"/>
      <c r="AB849" s="409"/>
      <c r="AC849" s="409"/>
      <c r="AD849" s="409"/>
      <c r="AE849" s="409"/>
      <c r="AF849" s="414"/>
      <c r="AG849" s="414"/>
      <c r="AH849" s="414"/>
      <c r="AI849" s="414"/>
      <c r="AJ849" s="414"/>
      <c r="AK849" s="414"/>
      <c r="AL849" s="414"/>
      <c r="AM849" s="296">
        <f>SUM(Y849:AL849)</f>
        <v>0</v>
      </c>
    </row>
    <row r="850" spans="1:39" hidden="1" outlineLevel="1">
      <c r="A850" s="527"/>
      <c r="B850" s="294" t="s">
        <v>342</v>
      </c>
      <c r="C850" s="291" t="s">
        <v>163</v>
      </c>
      <c r="D850" s="295"/>
      <c r="E850" s="295"/>
      <c r="F850" s="295"/>
      <c r="G850" s="295"/>
      <c r="H850" s="295"/>
      <c r="I850" s="295"/>
      <c r="J850" s="295"/>
      <c r="K850" s="295"/>
      <c r="L850" s="295"/>
      <c r="M850" s="295"/>
      <c r="N850" s="295">
        <f>N849</f>
        <v>12</v>
      </c>
      <c r="O850" s="295"/>
      <c r="P850" s="295"/>
      <c r="Q850" s="295"/>
      <c r="R850" s="295"/>
      <c r="S850" s="295"/>
      <c r="T850" s="295"/>
      <c r="U850" s="295"/>
      <c r="V850" s="295"/>
      <c r="W850" s="295"/>
      <c r="X850" s="295"/>
      <c r="Y850" s="410">
        <f>Y849</f>
        <v>0</v>
      </c>
      <c r="Z850" s="410">
        <f t="shared" ref="Z850:AL850" si="2476">Z849</f>
        <v>0</v>
      </c>
      <c r="AA850" s="410">
        <f t="shared" si="2476"/>
        <v>0</v>
      </c>
      <c r="AB850" s="410">
        <f t="shared" si="2476"/>
        <v>0</v>
      </c>
      <c r="AC850" s="410">
        <f t="shared" si="2476"/>
        <v>0</v>
      </c>
      <c r="AD850" s="410">
        <f t="shared" si="2476"/>
        <v>0</v>
      </c>
      <c r="AE850" s="410">
        <f t="shared" si="2476"/>
        <v>0</v>
      </c>
      <c r="AF850" s="410">
        <f t="shared" si="2476"/>
        <v>0</v>
      </c>
      <c r="AG850" s="410">
        <f t="shared" si="2476"/>
        <v>0</v>
      </c>
      <c r="AH850" s="410">
        <f t="shared" si="2476"/>
        <v>0</v>
      </c>
      <c r="AI850" s="410">
        <f t="shared" si="2476"/>
        <v>0</v>
      </c>
      <c r="AJ850" s="410">
        <f t="shared" si="2476"/>
        <v>0</v>
      </c>
      <c r="AK850" s="410">
        <f t="shared" si="2476"/>
        <v>0</v>
      </c>
      <c r="AL850" s="410">
        <f t="shared" si="2476"/>
        <v>0</v>
      </c>
      <c r="AM850" s="306"/>
    </row>
    <row r="851" spans="1:39" hidden="1" outlineLevel="1">
      <c r="A851" s="527"/>
      <c r="B851" s="321"/>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0"/>
      <c r="Z851" s="421"/>
      <c r="AA851" s="421"/>
      <c r="AB851" s="421"/>
      <c r="AC851" s="421"/>
      <c r="AD851" s="421"/>
      <c r="AE851" s="421"/>
      <c r="AF851" s="421"/>
      <c r="AG851" s="421"/>
      <c r="AH851" s="421"/>
      <c r="AI851" s="421"/>
      <c r="AJ851" s="421"/>
      <c r="AK851" s="421"/>
      <c r="AL851" s="421"/>
      <c r="AM851" s="297"/>
    </row>
    <row r="852" spans="1:39" ht="30" hidden="1" outlineLevel="1">
      <c r="A852" s="527">
        <v>19</v>
      </c>
      <c r="B852" s="425" t="s">
        <v>111</v>
      </c>
      <c r="C852" s="291" t="s">
        <v>25</v>
      </c>
      <c r="D852" s="295"/>
      <c r="E852" s="295"/>
      <c r="F852" s="295"/>
      <c r="G852" s="295"/>
      <c r="H852" s="295"/>
      <c r="I852" s="295"/>
      <c r="J852" s="295"/>
      <c r="K852" s="295"/>
      <c r="L852" s="295"/>
      <c r="M852" s="295"/>
      <c r="N852" s="295">
        <v>12</v>
      </c>
      <c r="O852" s="295"/>
      <c r="P852" s="295"/>
      <c r="Q852" s="295"/>
      <c r="R852" s="295"/>
      <c r="S852" s="295"/>
      <c r="T852" s="295"/>
      <c r="U852" s="295"/>
      <c r="V852" s="295"/>
      <c r="W852" s="295"/>
      <c r="X852" s="295"/>
      <c r="Y852" s="423"/>
      <c r="Z852" s="409"/>
      <c r="AA852" s="409"/>
      <c r="AB852" s="409"/>
      <c r="AC852" s="409"/>
      <c r="AD852" s="409"/>
      <c r="AE852" s="409"/>
      <c r="AF852" s="414"/>
      <c r="AG852" s="414"/>
      <c r="AH852" s="414"/>
      <c r="AI852" s="414"/>
      <c r="AJ852" s="414"/>
      <c r="AK852" s="414"/>
      <c r="AL852" s="414"/>
      <c r="AM852" s="296">
        <f>SUM(Y852:AL852)</f>
        <v>0</v>
      </c>
    </row>
    <row r="853" spans="1:39" hidden="1" outlineLevel="1">
      <c r="A853" s="527"/>
      <c r="B853" s="294" t="s">
        <v>342</v>
      </c>
      <c r="C853" s="291" t="s">
        <v>163</v>
      </c>
      <c r="D853" s="295"/>
      <c r="E853" s="295"/>
      <c r="F853" s="295"/>
      <c r="G853" s="295"/>
      <c r="H853" s="295"/>
      <c r="I853" s="295"/>
      <c r="J853" s="295"/>
      <c r="K853" s="295"/>
      <c r="L853" s="295"/>
      <c r="M853" s="295"/>
      <c r="N853" s="295">
        <f>N852</f>
        <v>12</v>
      </c>
      <c r="O853" s="295"/>
      <c r="P853" s="295"/>
      <c r="Q853" s="295"/>
      <c r="R853" s="295"/>
      <c r="S853" s="295"/>
      <c r="T853" s="295"/>
      <c r="U853" s="295"/>
      <c r="V853" s="295"/>
      <c r="W853" s="295"/>
      <c r="X853" s="295"/>
      <c r="Y853" s="410">
        <f>Y852</f>
        <v>0</v>
      </c>
      <c r="Z853" s="410">
        <f t="shared" ref="Z853:AL853" si="2477">Z852</f>
        <v>0</v>
      </c>
      <c r="AA853" s="410">
        <f t="shared" si="2477"/>
        <v>0</v>
      </c>
      <c r="AB853" s="410">
        <f t="shared" si="2477"/>
        <v>0</v>
      </c>
      <c r="AC853" s="410">
        <f t="shared" si="2477"/>
        <v>0</v>
      </c>
      <c r="AD853" s="410">
        <f t="shared" si="2477"/>
        <v>0</v>
      </c>
      <c r="AE853" s="410">
        <f t="shared" si="2477"/>
        <v>0</v>
      </c>
      <c r="AF853" s="410">
        <f t="shared" si="2477"/>
        <v>0</v>
      </c>
      <c r="AG853" s="410">
        <f t="shared" si="2477"/>
        <v>0</v>
      </c>
      <c r="AH853" s="410">
        <f t="shared" si="2477"/>
        <v>0</v>
      </c>
      <c r="AI853" s="410">
        <f t="shared" si="2477"/>
        <v>0</v>
      </c>
      <c r="AJ853" s="410">
        <f t="shared" si="2477"/>
        <v>0</v>
      </c>
      <c r="AK853" s="410">
        <f t="shared" si="2477"/>
        <v>0</v>
      </c>
      <c r="AL853" s="410">
        <f t="shared" si="2477"/>
        <v>0</v>
      </c>
      <c r="AM853" s="297"/>
    </row>
    <row r="854" spans="1:39" hidden="1" outlineLevel="1">
      <c r="A854" s="527"/>
      <c r="B854" s="321"/>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1"/>
      <c r="Z854" s="411"/>
      <c r="AA854" s="411"/>
      <c r="AB854" s="411"/>
      <c r="AC854" s="411"/>
      <c r="AD854" s="411"/>
      <c r="AE854" s="411"/>
      <c r="AF854" s="411"/>
      <c r="AG854" s="411"/>
      <c r="AH854" s="411"/>
      <c r="AI854" s="411"/>
      <c r="AJ854" s="411"/>
      <c r="AK854" s="411"/>
      <c r="AL854" s="411"/>
      <c r="AM854" s="306"/>
    </row>
    <row r="855" spans="1:39" hidden="1" outlineLevel="1">
      <c r="A855" s="527">
        <v>20</v>
      </c>
      <c r="B855" s="425" t="s">
        <v>110</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3"/>
      <c r="Z855" s="409"/>
      <c r="AA855" s="409"/>
      <c r="AB855" s="409"/>
      <c r="AC855" s="409"/>
      <c r="AD855" s="409"/>
      <c r="AE855" s="409"/>
      <c r="AF855" s="414"/>
      <c r="AG855" s="414"/>
      <c r="AH855" s="414"/>
      <c r="AI855" s="414"/>
      <c r="AJ855" s="414"/>
      <c r="AK855" s="414"/>
      <c r="AL855" s="414"/>
      <c r="AM855" s="296">
        <f>SUM(Y855:AL855)</f>
        <v>0</v>
      </c>
    </row>
    <row r="856" spans="1:39" hidden="1" outlineLevel="1">
      <c r="A856" s="527"/>
      <c r="B856" s="294" t="s">
        <v>342</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0">
        <f>Y855</f>
        <v>0</v>
      </c>
      <c r="Z856" s="410">
        <f t="shared" ref="Z856:AL856" si="2478">Z855</f>
        <v>0</v>
      </c>
      <c r="AA856" s="410">
        <f t="shared" si="2478"/>
        <v>0</v>
      </c>
      <c r="AB856" s="410">
        <f t="shared" si="2478"/>
        <v>0</v>
      </c>
      <c r="AC856" s="410">
        <f t="shared" si="2478"/>
        <v>0</v>
      </c>
      <c r="AD856" s="410">
        <f t="shared" si="2478"/>
        <v>0</v>
      </c>
      <c r="AE856" s="410">
        <f t="shared" si="2478"/>
        <v>0</v>
      </c>
      <c r="AF856" s="410">
        <f t="shared" si="2478"/>
        <v>0</v>
      </c>
      <c r="AG856" s="410">
        <f t="shared" si="2478"/>
        <v>0</v>
      </c>
      <c r="AH856" s="410">
        <f t="shared" si="2478"/>
        <v>0</v>
      </c>
      <c r="AI856" s="410">
        <f t="shared" si="2478"/>
        <v>0</v>
      </c>
      <c r="AJ856" s="410">
        <f t="shared" si="2478"/>
        <v>0</v>
      </c>
      <c r="AK856" s="410">
        <f t="shared" si="2478"/>
        <v>0</v>
      </c>
      <c r="AL856" s="410">
        <f t="shared" si="2478"/>
        <v>0</v>
      </c>
      <c r="AM856" s="306"/>
    </row>
    <row r="857" spans="1:39" ht="15.75" hidden="1" outlineLevel="1">
      <c r="A857" s="527"/>
      <c r="B857" s="322"/>
      <c r="C857" s="300"/>
      <c r="D857" s="291"/>
      <c r="E857" s="291"/>
      <c r="F857" s="291"/>
      <c r="G857" s="291"/>
      <c r="H857" s="291"/>
      <c r="I857" s="291"/>
      <c r="J857" s="291"/>
      <c r="K857" s="291"/>
      <c r="L857" s="291"/>
      <c r="M857" s="291"/>
      <c r="N857" s="300"/>
      <c r="O857" s="291"/>
      <c r="P857" s="291"/>
      <c r="Q857" s="291"/>
      <c r="R857" s="291"/>
      <c r="S857" s="291"/>
      <c r="T857" s="291"/>
      <c r="U857" s="291"/>
      <c r="V857" s="291"/>
      <c r="W857" s="291"/>
      <c r="X857" s="291"/>
      <c r="Y857" s="411"/>
      <c r="Z857" s="411"/>
      <c r="AA857" s="411"/>
      <c r="AB857" s="411"/>
      <c r="AC857" s="411"/>
      <c r="AD857" s="411"/>
      <c r="AE857" s="411"/>
      <c r="AF857" s="411"/>
      <c r="AG857" s="411"/>
      <c r="AH857" s="411"/>
      <c r="AI857" s="411"/>
      <c r="AJ857" s="411"/>
      <c r="AK857" s="411"/>
      <c r="AL857" s="411"/>
      <c r="AM857" s="306"/>
    </row>
    <row r="858" spans="1:39" ht="15.75" hidden="1" outlineLevel="1">
      <c r="A858" s="527"/>
      <c r="B858" s="513" t="s">
        <v>503</v>
      </c>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9"/>
      <c r="Z858" s="422"/>
      <c r="AA858" s="422"/>
      <c r="AB858" s="422"/>
      <c r="AC858" s="422"/>
      <c r="AD858" s="422"/>
      <c r="AE858" s="422"/>
      <c r="AF858" s="422"/>
      <c r="AG858" s="422"/>
      <c r="AH858" s="422"/>
      <c r="AI858" s="422"/>
      <c r="AJ858" s="422"/>
      <c r="AK858" s="422"/>
      <c r="AL858" s="422"/>
      <c r="AM858" s="306"/>
    </row>
    <row r="859" spans="1:39" ht="15.75" hidden="1" outlineLevel="1">
      <c r="A859" s="527"/>
      <c r="B859" s="499" t="s">
        <v>499</v>
      </c>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9"/>
      <c r="Z859" s="422"/>
      <c r="AA859" s="422"/>
      <c r="AB859" s="422"/>
      <c r="AC859" s="422"/>
      <c r="AD859" s="422"/>
      <c r="AE859" s="422"/>
      <c r="AF859" s="422"/>
      <c r="AG859" s="422"/>
      <c r="AH859" s="422"/>
      <c r="AI859" s="422"/>
      <c r="AJ859" s="422"/>
      <c r="AK859" s="422"/>
      <c r="AL859" s="422"/>
      <c r="AM859" s="306"/>
    </row>
    <row r="860" spans="1:39" ht="30" hidden="1" outlineLevel="1">
      <c r="A860" s="527">
        <v>21</v>
      </c>
      <c r="B860" s="425" t="s">
        <v>113</v>
      </c>
      <c r="C860" s="291" t="s">
        <v>25</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4"/>
      <c r="Z860" s="414"/>
      <c r="AA860" s="414"/>
      <c r="AB860" s="414"/>
      <c r="AC860" s="414"/>
      <c r="AD860" s="414"/>
      <c r="AE860" s="414"/>
      <c r="AF860" s="409"/>
      <c r="AG860" s="409"/>
      <c r="AH860" s="409"/>
      <c r="AI860" s="409"/>
      <c r="AJ860" s="409"/>
      <c r="AK860" s="409"/>
      <c r="AL860" s="409"/>
      <c r="AM860" s="296">
        <f>SUM(Y860:AL860)</f>
        <v>0</v>
      </c>
    </row>
    <row r="861" spans="1:39" hidden="1" outlineLevel="1">
      <c r="A861" s="527"/>
      <c r="B861" s="294" t="s">
        <v>342</v>
      </c>
      <c r="C861" s="291" t="s">
        <v>163</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10">
        <f>Y860</f>
        <v>0</v>
      </c>
      <c r="Z861" s="410">
        <f t="shared" ref="Z861" si="2479">Z860</f>
        <v>0</v>
      </c>
      <c r="AA861" s="410">
        <f t="shared" ref="AA861" si="2480">AA860</f>
        <v>0</v>
      </c>
      <c r="AB861" s="410">
        <f t="shared" ref="AB861" si="2481">AB860</f>
        <v>0</v>
      </c>
      <c r="AC861" s="410">
        <f t="shared" ref="AC861" si="2482">AC860</f>
        <v>0</v>
      </c>
      <c r="AD861" s="410">
        <f t="shared" ref="AD861" si="2483">AD860</f>
        <v>0</v>
      </c>
      <c r="AE861" s="410">
        <f t="shared" ref="AE861" si="2484">AE860</f>
        <v>0</v>
      </c>
      <c r="AF861" s="410">
        <f t="shared" ref="AF861" si="2485">AF860</f>
        <v>0</v>
      </c>
      <c r="AG861" s="410">
        <f t="shared" ref="AG861" si="2486">AG860</f>
        <v>0</v>
      </c>
      <c r="AH861" s="410">
        <f t="shared" ref="AH861" si="2487">AH860</f>
        <v>0</v>
      </c>
      <c r="AI861" s="410">
        <f t="shared" ref="AI861" si="2488">AI860</f>
        <v>0</v>
      </c>
      <c r="AJ861" s="410">
        <f t="shared" ref="AJ861" si="2489">AJ860</f>
        <v>0</v>
      </c>
      <c r="AK861" s="410">
        <f t="shared" ref="AK861" si="2490">AK860</f>
        <v>0</v>
      </c>
      <c r="AL861" s="410">
        <f t="shared" ref="AL861" si="2491">AL860</f>
        <v>0</v>
      </c>
      <c r="AM861" s="306"/>
    </row>
    <row r="862" spans="1:39" hidden="1" outlineLevel="1">
      <c r="A862" s="527"/>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9"/>
      <c r="Z862" s="422"/>
      <c r="AA862" s="422"/>
      <c r="AB862" s="422"/>
      <c r="AC862" s="422"/>
      <c r="AD862" s="422"/>
      <c r="AE862" s="422"/>
      <c r="AF862" s="422"/>
      <c r="AG862" s="422"/>
      <c r="AH862" s="422"/>
      <c r="AI862" s="422"/>
      <c r="AJ862" s="422"/>
      <c r="AK862" s="422"/>
      <c r="AL862" s="422"/>
      <c r="AM862" s="306"/>
    </row>
    <row r="863" spans="1:39" ht="30" hidden="1" outlineLevel="1">
      <c r="A863" s="527">
        <v>22</v>
      </c>
      <c r="B863" s="425" t="s">
        <v>114</v>
      </c>
      <c r="C863" s="291" t="s">
        <v>25</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4"/>
      <c r="Z863" s="414"/>
      <c r="AA863" s="414"/>
      <c r="AB863" s="414"/>
      <c r="AC863" s="414"/>
      <c r="AD863" s="414"/>
      <c r="AE863" s="414"/>
      <c r="AF863" s="409"/>
      <c r="AG863" s="409"/>
      <c r="AH863" s="409"/>
      <c r="AI863" s="409"/>
      <c r="AJ863" s="409"/>
      <c r="AK863" s="409"/>
      <c r="AL863" s="409"/>
      <c r="AM863" s="296">
        <f>SUM(Y863:AL863)</f>
        <v>0</v>
      </c>
    </row>
    <row r="864" spans="1:39" hidden="1" outlineLevel="1">
      <c r="A864" s="527"/>
      <c r="B864" s="294" t="s">
        <v>342</v>
      </c>
      <c r="C864" s="291" t="s">
        <v>163</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0">
        <f>Y863</f>
        <v>0</v>
      </c>
      <c r="Z864" s="410">
        <f t="shared" ref="Z864" si="2492">Z863</f>
        <v>0</v>
      </c>
      <c r="AA864" s="410">
        <f t="shared" ref="AA864" si="2493">AA863</f>
        <v>0</v>
      </c>
      <c r="AB864" s="410">
        <f t="shared" ref="AB864" si="2494">AB863</f>
        <v>0</v>
      </c>
      <c r="AC864" s="410">
        <f t="shared" ref="AC864" si="2495">AC863</f>
        <v>0</v>
      </c>
      <c r="AD864" s="410">
        <f t="shared" ref="AD864" si="2496">AD863</f>
        <v>0</v>
      </c>
      <c r="AE864" s="410">
        <f t="shared" ref="AE864" si="2497">AE863</f>
        <v>0</v>
      </c>
      <c r="AF864" s="410">
        <f t="shared" ref="AF864" si="2498">AF863</f>
        <v>0</v>
      </c>
      <c r="AG864" s="410">
        <f t="shared" ref="AG864" si="2499">AG863</f>
        <v>0</v>
      </c>
      <c r="AH864" s="410">
        <f t="shared" ref="AH864" si="2500">AH863</f>
        <v>0</v>
      </c>
      <c r="AI864" s="410">
        <f t="shared" ref="AI864" si="2501">AI863</f>
        <v>0</v>
      </c>
      <c r="AJ864" s="410">
        <f t="shared" ref="AJ864" si="2502">AJ863</f>
        <v>0</v>
      </c>
      <c r="AK864" s="410">
        <f t="shared" ref="AK864" si="2503">AK863</f>
        <v>0</v>
      </c>
      <c r="AL864" s="410">
        <f t="shared" ref="AL864" si="2504">AL863</f>
        <v>0</v>
      </c>
      <c r="AM864" s="306"/>
    </row>
    <row r="865" spans="1:39" hidden="1" outlineLevel="1">
      <c r="A865" s="527"/>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9"/>
      <c r="Z865" s="422"/>
      <c r="AA865" s="422"/>
      <c r="AB865" s="422"/>
      <c r="AC865" s="422"/>
      <c r="AD865" s="422"/>
      <c r="AE865" s="422"/>
      <c r="AF865" s="422"/>
      <c r="AG865" s="422"/>
      <c r="AH865" s="422"/>
      <c r="AI865" s="422"/>
      <c r="AJ865" s="422"/>
      <c r="AK865" s="422"/>
      <c r="AL865" s="422"/>
      <c r="AM865" s="306"/>
    </row>
    <row r="866" spans="1:39" ht="30" hidden="1" outlineLevel="1">
      <c r="A866" s="527">
        <v>23</v>
      </c>
      <c r="B866" s="425" t="s">
        <v>115</v>
      </c>
      <c r="C866" s="291" t="s">
        <v>25</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4"/>
      <c r="Z866" s="414"/>
      <c r="AA866" s="414"/>
      <c r="AB866" s="414"/>
      <c r="AC866" s="414"/>
      <c r="AD866" s="414"/>
      <c r="AE866" s="414"/>
      <c r="AF866" s="409"/>
      <c r="AG866" s="409"/>
      <c r="AH866" s="409"/>
      <c r="AI866" s="409"/>
      <c r="AJ866" s="409"/>
      <c r="AK866" s="409"/>
      <c r="AL866" s="409"/>
      <c r="AM866" s="296">
        <f>SUM(Y866:AL866)</f>
        <v>0</v>
      </c>
    </row>
    <row r="867" spans="1:39" hidden="1" outlineLevel="1">
      <c r="A867" s="527"/>
      <c r="B867" s="294" t="s">
        <v>342</v>
      </c>
      <c r="C867" s="291" t="s">
        <v>163</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0">
        <f>Y866</f>
        <v>0</v>
      </c>
      <c r="Z867" s="410">
        <f t="shared" ref="Z867" si="2505">Z866</f>
        <v>0</v>
      </c>
      <c r="AA867" s="410">
        <f t="shared" ref="AA867" si="2506">AA866</f>
        <v>0</v>
      </c>
      <c r="AB867" s="410">
        <f t="shared" ref="AB867" si="2507">AB866</f>
        <v>0</v>
      </c>
      <c r="AC867" s="410">
        <f t="shared" ref="AC867" si="2508">AC866</f>
        <v>0</v>
      </c>
      <c r="AD867" s="410">
        <f t="shared" ref="AD867" si="2509">AD866</f>
        <v>0</v>
      </c>
      <c r="AE867" s="410">
        <f t="shared" ref="AE867" si="2510">AE866</f>
        <v>0</v>
      </c>
      <c r="AF867" s="410">
        <f t="shared" ref="AF867" si="2511">AF866</f>
        <v>0</v>
      </c>
      <c r="AG867" s="410">
        <f t="shared" ref="AG867" si="2512">AG866</f>
        <v>0</v>
      </c>
      <c r="AH867" s="410">
        <f t="shared" ref="AH867" si="2513">AH866</f>
        <v>0</v>
      </c>
      <c r="AI867" s="410">
        <f t="shared" ref="AI867" si="2514">AI866</f>
        <v>0</v>
      </c>
      <c r="AJ867" s="410">
        <f t="shared" ref="AJ867" si="2515">AJ866</f>
        <v>0</v>
      </c>
      <c r="AK867" s="410">
        <f t="shared" ref="AK867" si="2516">AK866</f>
        <v>0</v>
      </c>
      <c r="AL867" s="410">
        <f t="shared" ref="AL867" si="2517">AL866</f>
        <v>0</v>
      </c>
      <c r="AM867" s="306"/>
    </row>
    <row r="868" spans="1:39" hidden="1" outlineLevel="1">
      <c r="A868" s="527"/>
      <c r="B868" s="427"/>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9"/>
      <c r="Z868" s="422"/>
      <c r="AA868" s="422"/>
      <c r="AB868" s="422"/>
      <c r="AC868" s="422"/>
      <c r="AD868" s="422"/>
      <c r="AE868" s="422"/>
      <c r="AF868" s="422"/>
      <c r="AG868" s="422"/>
      <c r="AH868" s="422"/>
      <c r="AI868" s="422"/>
      <c r="AJ868" s="422"/>
      <c r="AK868" s="422"/>
      <c r="AL868" s="422"/>
      <c r="AM868" s="306"/>
    </row>
    <row r="869" spans="1:39" ht="30" hidden="1" outlineLevel="1">
      <c r="A869" s="527">
        <v>24</v>
      </c>
      <c r="B869" s="425" t="s">
        <v>116</v>
      </c>
      <c r="C869" s="291" t="s">
        <v>25</v>
      </c>
      <c r="D869" s="295"/>
      <c r="E869" s="295"/>
      <c r="F869" s="295"/>
      <c r="G869" s="295"/>
      <c r="H869" s="295"/>
      <c r="I869" s="295"/>
      <c r="J869" s="295"/>
      <c r="K869" s="295"/>
      <c r="L869" s="295"/>
      <c r="M869" s="295"/>
      <c r="N869" s="291"/>
      <c r="O869" s="295"/>
      <c r="P869" s="295"/>
      <c r="Q869" s="295"/>
      <c r="R869" s="295"/>
      <c r="S869" s="295"/>
      <c r="T869" s="295"/>
      <c r="U869" s="295"/>
      <c r="V869" s="295"/>
      <c r="W869" s="295"/>
      <c r="X869" s="295"/>
      <c r="Y869" s="414"/>
      <c r="Z869" s="414"/>
      <c r="AA869" s="414"/>
      <c r="AB869" s="414"/>
      <c r="AC869" s="414"/>
      <c r="AD869" s="414"/>
      <c r="AE869" s="414"/>
      <c r="AF869" s="409"/>
      <c r="AG869" s="409"/>
      <c r="AH869" s="409"/>
      <c r="AI869" s="409"/>
      <c r="AJ869" s="409"/>
      <c r="AK869" s="409"/>
      <c r="AL869" s="409"/>
      <c r="AM869" s="296">
        <f>SUM(Y869:AL869)</f>
        <v>0</v>
      </c>
    </row>
    <row r="870" spans="1:39" hidden="1" outlineLevel="1">
      <c r="A870" s="527"/>
      <c r="B870" s="294" t="s">
        <v>342</v>
      </c>
      <c r="C870" s="291" t="s">
        <v>163</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0">
        <f>Y869</f>
        <v>0</v>
      </c>
      <c r="Z870" s="410">
        <f t="shared" ref="Z870" si="2518">Z869</f>
        <v>0</v>
      </c>
      <c r="AA870" s="410">
        <f t="shared" ref="AA870" si="2519">AA869</f>
        <v>0</v>
      </c>
      <c r="AB870" s="410">
        <f t="shared" ref="AB870" si="2520">AB869</f>
        <v>0</v>
      </c>
      <c r="AC870" s="410">
        <f t="shared" ref="AC870" si="2521">AC869</f>
        <v>0</v>
      </c>
      <c r="AD870" s="410">
        <f t="shared" ref="AD870" si="2522">AD869</f>
        <v>0</v>
      </c>
      <c r="AE870" s="410">
        <f t="shared" ref="AE870" si="2523">AE869</f>
        <v>0</v>
      </c>
      <c r="AF870" s="410">
        <f t="shared" ref="AF870" si="2524">AF869</f>
        <v>0</v>
      </c>
      <c r="AG870" s="410">
        <f t="shared" ref="AG870" si="2525">AG869</f>
        <v>0</v>
      </c>
      <c r="AH870" s="410">
        <f t="shared" ref="AH870" si="2526">AH869</f>
        <v>0</v>
      </c>
      <c r="AI870" s="410">
        <f t="shared" ref="AI870" si="2527">AI869</f>
        <v>0</v>
      </c>
      <c r="AJ870" s="410">
        <f t="shared" ref="AJ870" si="2528">AJ869</f>
        <v>0</v>
      </c>
      <c r="AK870" s="410">
        <f t="shared" ref="AK870" si="2529">AK869</f>
        <v>0</v>
      </c>
      <c r="AL870" s="410">
        <f t="shared" ref="AL870" si="2530">AL869</f>
        <v>0</v>
      </c>
      <c r="AM870" s="306"/>
    </row>
    <row r="871" spans="1:39" hidden="1" outlineLevel="1">
      <c r="A871" s="527"/>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1"/>
      <c r="Z871" s="422"/>
      <c r="AA871" s="422"/>
      <c r="AB871" s="422"/>
      <c r="AC871" s="422"/>
      <c r="AD871" s="422"/>
      <c r="AE871" s="422"/>
      <c r="AF871" s="422"/>
      <c r="AG871" s="422"/>
      <c r="AH871" s="422"/>
      <c r="AI871" s="422"/>
      <c r="AJ871" s="422"/>
      <c r="AK871" s="422"/>
      <c r="AL871" s="422"/>
      <c r="AM871" s="306"/>
    </row>
    <row r="872" spans="1:39" ht="15.75" hidden="1" outlineLevel="1">
      <c r="A872" s="527"/>
      <c r="B872" s="288" t="s">
        <v>500</v>
      </c>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1"/>
      <c r="Z872" s="422"/>
      <c r="AA872" s="422"/>
      <c r="AB872" s="422"/>
      <c r="AC872" s="422"/>
      <c r="AD872" s="422"/>
      <c r="AE872" s="422"/>
      <c r="AF872" s="422"/>
      <c r="AG872" s="422"/>
      <c r="AH872" s="422"/>
      <c r="AI872" s="422"/>
      <c r="AJ872" s="422"/>
      <c r="AK872" s="422"/>
      <c r="AL872" s="422"/>
      <c r="AM872" s="306"/>
    </row>
    <row r="873" spans="1:39" ht="30" hidden="1" outlineLevel="1">
      <c r="A873" s="527">
        <v>25</v>
      </c>
      <c r="B873" s="425" t="s">
        <v>117</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3"/>
      <c r="Z873" s="414"/>
      <c r="AA873" s="414"/>
      <c r="AB873" s="414"/>
      <c r="AC873" s="414"/>
      <c r="AD873" s="414"/>
      <c r="AE873" s="414"/>
      <c r="AF873" s="414"/>
      <c r="AG873" s="414"/>
      <c r="AH873" s="414"/>
      <c r="AI873" s="414"/>
      <c r="AJ873" s="414"/>
      <c r="AK873" s="414"/>
      <c r="AL873" s="414"/>
      <c r="AM873" s="296">
        <f>SUM(Y873:AL873)</f>
        <v>0</v>
      </c>
    </row>
    <row r="874" spans="1:39" hidden="1" outlineLevel="1">
      <c r="A874" s="527"/>
      <c r="B874" s="294" t="s">
        <v>342</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0">
        <f>Y873</f>
        <v>0</v>
      </c>
      <c r="Z874" s="410">
        <f t="shared" ref="Z874" si="2531">Z873</f>
        <v>0</v>
      </c>
      <c r="AA874" s="410">
        <f t="shared" ref="AA874" si="2532">AA873</f>
        <v>0</v>
      </c>
      <c r="AB874" s="410">
        <f t="shared" ref="AB874" si="2533">AB873</f>
        <v>0</v>
      </c>
      <c r="AC874" s="410">
        <f t="shared" ref="AC874" si="2534">AC873</f>
        <v>0</v>
      </c>
      <c r="AD874" s="410">
        <f t="shared" ref="AD874" si="2535">AD873</f>
        <v>0</v>
      </c>
      <c r="AE874" s="410">
        <f t="shared" ref="AE874" si="2536">AE873</f>
        <v>0</v>
      </c>
      <c r="AF874" s="410">
        <f t="shared" ref="AF874" si="2537">AF873</f>
        <v>0</v>
      </c>
      <c r="AG874" s="410">
        <f t="shared" ref="AG874" si="2538">AG873</f>
        <v>0</v>
      </c>
      <c r="AH874" s="410">
        <f t="shared" ref="AH874" si="2539">AH873</f>
        <v>0</v>
      </c>
      <c r="AI874" s="410">
        <f t="shared" ref="AI874" si="2540">AI873</f>
        <v>0</v>
      </c>
      <c r="AJ874" s="410">
        <f t="shared" ref="AJ874" si="2541">AJ873</f>
        <v>0</v>
      </c>
      <c r="AK874" s="410">
        <f t="shared" ref="AK874" si="2542">AK873</f>
        <v>0</v>
      </c>
      <c r="AL874" s="410">
        <f t="shared" ref="AL874" si="2543">AL873</f>
        <v>0</v>
      </c>
      <c r="AM874" s="306"/>
    </row>
    <row r="875" spans="1:39" hidden="1" outlineLevel="1">
      <c r="A875" s="527"/>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1"/>
      <c r="Z875" s="422"/>
      <c r="AA875" s="422"/>
      <c r="AB875" s="422"/>
      <c r="AC875" s="422"/>
      <c r="AD875" s="422"/>
      <c r="AE875" s="422"/>
      <c r="AF875" s="422"/>
      <c r="AG875" s="422"/>
      <c r="AH875" s="422"/>
      <c r="AI875" s="422"/>
      <c r="AJ875" s="422"/>
      <c r="AK875" s="422"/>
      <c r="AL875" s="422"/>
      <c r="AM875" s="306"/>
    </row>
    <row r="876" spans="1:39" ht="30" hidden="1" outlineLevel="1">
      <c r="A876" s="527">
        <v>26</v>
      </c>
      <c r="B876" s="425" t="s">
        <v>118</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3"/>
      <c r="Z876" s="414"/>
      <c r="AA876" s="414"/>
      <c r="AB876" s="414"/>
      <c r="AC876" s="414"/>
      <c r="AD876" s="414"/>
      <c r="AE876" s="414"/>
      <c r="AF876" s="414"/>
      <c r="AG876" s="414"/>
      <c r="AH876" s="414"/>
      <c r="AI876" s="414"/>
      <c r="AJ876" s="414"/>
      <c r="AK876" s="414"/>
      <c r="AL876" s="414"/>
      <c r="AM876" s="296">
        <f>SUM(Y876:AL876)</f>
        <v>0</v>
      </c>
    </row>
    <row r="877" spans="1:39" hidden="1" outlineLevel="1">
      <c r="A877" s="527"/>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0">
        <f>Y876</f>
        <v>0</v>
      </c>
      <c r="Z877" s="410">
        <f t="shared" ref="Z877" si="2544">Z876</f>
        <v>0</v>
      </c>
      <c r="AA877" s="410">
        <f t="shared" ref="AA877" si="2545">AA876</f>
        <v>0</v>
      </c>
      <c r="AB877" s="410">
        <f t="shared" ref="AB877" si="2546">AB876</f>
        <v>0</v>
      </c>
      <c r="AC877" s="410">
        <f t="shared" ref="AC877" si="2547">AC876</f>
        <v>0</v>
      </c>
      <c r="AD877" s="410">
        <f t="shared" ref="AD877" si="2548">AD876</f>
        <v>0</v>
      </c>
      <c r="AE877" s="410">
        <f t="shared" ref="AE877" si="2549">AE876</f>
        <v>0</v>
      </c>
      <c r="AF877" s="410">
        <f t="shared" ref="AF877" si="2550">AF876</f>
        <v>0</v>
      </c>
      <c r="AG877" s="410">
        <f t="shared" ref="AG877" si="2551">AG876</f>
        <v>0</v>
      </c>
      <c r="AH877" s="410">
        <f t="shared" ref="AH877" si="2552">AH876</f>
        <v>0</v>
      </c>
      <c r="AI877" s="410">
        <f t="shared" ref="AI877" si="2553">AI876</f>
        <v>0</v>
      </c>
      <c r="AJ877" s="410">
        <f t="shared" ref="AJ877" si="2554">AJ876</f>
        <v>0</v>
      </c>
      <c r="AK877" s="410">
        <f t="shared" ref="AK877" si="2555">AK876</f>
        <v>0</v>
      </c>
      <c r="AL877" s="410">
        <f t="shared" ref="AL877" si="2556">AL876</f>
        <v>0</v>
      </c>
      <c r="AM877" s="306"/>
    </row>
    <row r="878" spans="1:39" hidden="1" outlineLevel="1">
      <c r="A878" s="527"/>
      <c r="B878" s="294"/>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1"/>
      <c r="Z878" s="422"/>
      <c r="AA878" s="422"/>
      <c r="AB878" s="422"/>
      <c r="AC878" s="422"/>
      <c r="AD878" s="422"/>
      <c r="AE878" s="422"/>
      <c r="AF878" s="422"/>
      <c r="AG878" s="422"/>
      <c r="AH878" s="422"/>
      <c r="AI878" s="422"/>
      <c r="AJ878" s="422"/>
      <c r="AK878" s="422"/>
      <c r="AL878" s="422"/>
      <c r="AM878" s="306"/>
    </row>
    <row r="879" spans="1:39" ht="30" hidden="1" outlineLevel="1">
      <c r="A879" s="527">
        <v>27</v>
      </c>
      <c r="B879" s="425" t="s">
        <v>119</v>
      </c>
      <c r="C879" s="291" t="s">
        <v>25</v>
      </c>
      <c r="D879" s="295"/>
      <c r="E879" s="295"/>
      <c r="F879" s="295"/>
      <c r="G879" s="295"/>
      <c r="H879" s="295"/>
      <c r="I879" s="295"/>
      <c r="J879" s="295"/>
      <c r="K879" s="295"/>
      <c r="L879" s="295"/>
      <c r="M879" s="295"/>
      <c r="N879" s="295">
        <v>12</v>
      </c>
      <c r="O879" s="295"/>
      <c r="P879" s="295"/>
      <c r="Q879" s="295"/>
      <c r="R879" s="295"/>
      <c r="S879" s="295"/>
      <c r="T879" s="295"/>
      <c r="U879" s="295"/>
      <c r="V879" s="295"/>
      <c r="W879" s="295"/>
      <c r="X879" s="295"/>
      <c r="Y879" s="423"/>
      <c r="Z879" s="414"/>
      <c r="AA879" s="414"/>
      <c r="AB879" s="414"/>
      <c r="AC879" s="414"/>
      <c r="AD879" s="414"/>
      <c r="AE879" s="414"/>
      <c r="AF879" s="414"/>
      <c r="AG879" s="414"/>
      <c r="AH879" s="414"/>
      <c r="AI879" s="414"/>
      <c r="AJ879" s="414"/>
      <c r="AK879" s="414"/>
      <c r="AL879" s="414"/>
      <c r="AM879" s="296">
        <f>SUM(Y879:AL879)</f>
        <v>0</v>
      </c>
    </row>
    <row r="880" spans="1:39" hidden="1" outlineLevel="1">
      <c r="A880" s="527"/>
      <c r="B880" s="294" t="s">
        <v>342</v>
      </c>
      <c r="C880" s="291" t="s">
        <v>163</v>
      </c>
      <c r="D880" s="295"/>
      <c r="E880" s="295"/>
      <c r="F880" s="295"/>
      <c r="G880" s="295"/>
      <c r="H880" s="295"/>
      <c r="I880" s="295"/>
      <c r="J880" s="295"/>
      <c r="K880" s="295"/>
      <c r="L880" s="295"/>
      <c r="M880" s="295"/>
      <c r="N880" s="295">
        <f>N879</f>
        <v>12</v>
      </c>
      <c r="O880" s="295"/>
      <c r="P880" s="295"/>
      <c r="Q880" s="295"/>
      <c r="R880" s="295"/>
      <c r="S880" s="295"/>
      <c r="T880" s="295"/>
      <c r="U880" s="295"/>
      <c r="V880" s="295"/>
      <c r="W880" s="295"/>
      <c r="X880" s="295"/>
      <c r="Y880" s="410">
        <f>Y879</f>
        <v>0</v>
      </c>
      <c r="Z880" s="410">
        <f t="shared" ref="Z880" si="2557">Z879</f>
        <v>0</v>
      </c>
      <c r="AA880" s="410">
        <f t="shared" ref="AA880" si="2558">AA879</f>
        <v>0</v>
      </c>
      <c r="AB880" s="410">
        <f t="shared" ref="AB880" si="2559">AB879</f>
        <v>0</v>
      </c>
      <c r="AC880" s="410">
        <f t="shared" ref="AC880" si="2560">AC879</f>
        <v>0</v>
      </c>
      <c r="AD880" s="410">
        <f t="shared" ref="AD880" si="2561">AD879</f>
        <v>0</v>
      </c>
      <c r="AE880" s="410">
        <f t="shared" ref="AE880" si="2562">AE879</f>
        <v>0</v>
      </c>
      <c r="AF880" s="410">
        <f t="shared" ref="AF880" si="2563">AF879</f>
        <v>0</v>
      </c>
      <c r="AG880" s="410">
        <f t="shared" ref="AG880" si="2564">AG879</f>
        <v>0</v>
      </c>
      <c r="AH880" s="410">
        <f t="shared" ref="AH880" si="2565">AH879</f>
        <v>0</v>
      </c>
      <c r="AI880" s="410">
        <f t="shared" ref="AI880" si="2566">AI879</f>
        <v>0</v>
      </c>
      <c r="AJ880" s="410">
        <f t="shared" ref="AJ880" si="2567">AJ879</f>
        <v>0</v>
      </c>
      <c r="AK880" s="410">
        <f t="shared" ref="AK880" si="2568">AK879</f>
        <v>0</v>
      </c>
      <c r="AL880" s="410">
        <f t="shared" ref="AL880" si="2569">AL879</f>
        <v>0</v>
      </c>
      <c r="AM880" s="306"/>
    </row>
    <row r="881" spans="1:39" hidden="1" outlineLevel="1">
      <c r="A881" s="527"/>
      <c r="B881" s="294"/>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1"/>
      <c r="Z881" s="422"/>
      <c r="AA881" s="422"/>
      <c r="AB881" s="422"/>
      <c r="AC881" s="422"/>
      <c r="AD881" s="422"/>
      <c r="AE881" s="422"/>
      <c r="AF881" s="422"/>
      <c r="AG881" s="422"/>
      <c r="AH881" s="422"/>
      <c r="AI881" s="422"/>
      <c r="AJ881" s="422"/>
      <c r="AK881" s="422"/>
      <c r="AL881" s="422"/>
      <c r="AM881" s="306"/>
    </row>
    <row r="882" spans="1:39" ht="45" hidden="1" outlineLevel="1">
      <c r="A882" s="527">
        <v>28</v>
      </c>
      <c r="B882" s="425" t="s">
        <v>120</v>
      </c>
      <c r="C882" s="291" t="s">
        <v>25</v>
      </c>
      <c r="D882" s="295"/>
      <c r="E882" s="295"/>
      <c r="F882" s="295"/>
      <c r="G882" s="295"/>
      <c r="H882" s="295"/>
      <c r="I882" s="295"/>
      <c r="J882" s="295"/>
      <c r="K882" s="295"/>
      <c r="L882" s="295"/>
      <c r="M882" s="295"/>
      <c r="N882" s="295">
        <v>12</v>
      </c>
      <c r="O882" s="295"/>
      <c r="P882" s="295"/>
      <c r="Q882" s="295"/>
      <c r="R882" s="295"/>
      <c r="S882" s="295"/>
      <c r="T882" s="295"/>
      <c r="U882" s="295"/>
      <c r="V882" s="295"/>
      <c r="W882" s="295"/>
      <c r="X882" s="295"/>
      <c r="Y882" s="423"/>
      <c r="Z882" s="414"/>
      <c r="AA882" s="414"/>
      <c r="AB882" s="414"/>
      <c r="AC882" s="414"/>
      <c r="AD882" s="414"/>
      <c r="AE882" s="414"/>
      <c r="AF882" s="414"/>
      <c r="AG882" s="414"/>
      <c r="AH882" s="414"/>
      <c r="AI882" s="414"/>
      <c r="AJ882" s="414"/>
      <c r="AK882" s="414"/>
      <c r="AL882" s="414"/>
      <c r="AM882" s="296">
        <f>SUM(Y882:AL882)</f>
        <v>0</v>
      </c>
    </row>
    <row r="883" spans="1:39" hidden="1" outlineLevel="1">
      <c r="A883" s="527"/>
      <c r="B883" s="294" t="s">
        <v>342</v>
      </c>
      <c r="C883" s="291" t="s">
        <v>163</v>
      </c>
      <c r="D883" s="295"/>
      <c r="E883" s="295"/>
      <c r="F883" s="295"/>
      <c r="G883" s="295"/>
      <c r="H883" s="295"/>
      <c r="I883" s="295"/>
      <c r="J883" s="295"/>
      <c r="K883" s="295"/>
      <c r="L883" s="295"/>
      <c r="M883" s="295"/>
      <c r="N883" s="295">
        <f>N882</f>
        <v>12</v>
      </c>
      <c r="O883" s="295"/>
      <c r="P883" s="295"/>
      <c r="Q883" s="295"/>
      <c r="R883" s="295"/>
      <c r="S883" s="295"/>
      <c r="T883" s="295"/>
      <c r="U883" s="295"/>
      <c r="V883" s="295"/>
      <c r="W883" s="295"/>
      <c r="X883" s="295"/>
      <c r="Y883" s="410">
        <f>Y882</f>
        <v>0</v>
      </c>
      <c r="Z883" s="410">
        <f t="shared" ref="Z883" si="2570">Z882</f>
        <v>0</v>
      </c>
      <c r="AA883" s="410">
        <f t="shared" ref="AA883" si="2571">AA882</f>
        <v>0</v>
      </c>
      <c r="AB883" s="410">
        <f t="shared" ref="AB883" si="2572">AB882</f>
        <v>0</v>
      </c>
      <c r="AC883" s="410">
        <f t="shared" ref="AC883" si="2573">AC882</f>
        <v>0</v>
      </c>
      <c r="AD883" s="410">
        <f t="shared" ref="AD883" si="2574">AD882</f>
        <v>0</v>
      </c>
      <c r="AE883" s="410">
        <f t="shared" ref="AE883" si="2575">AE882</f>
        <v>0</v>
      </c>
      <c r="AF883" s="410">
        <f t="shared" ref="AF883" si="2576">AF882</f>
        <v>0</v>
      </c>
      <c r="AG883" s="410">
        <f t="shared" ref="AG883" si="2577">AG882</f>
        <v>0</v>
      </c>
      <c r="AH883" s="410">
        <f t="shared" ref="AH883" si="2578">AH882</f>
        <v>0</v>
      </c>
      <c r="AI883" s="410">
        <f t="shared" ref="AI883" si="2579">AI882</f>
        <v>0</v>
      </c>
      <c r="AJ883" s="410">
        <f t="shared" ref="AJ883" si="2580">AJ882</f>
        <v>0</v>
      </c>
      <c r="AK883" s="410">
        <f t="shared" ref="AK883" si="2581">AK882</f>
        <v>0</v>
      </c>
      <c r="AL883" s="410">
        <f t="shared" ref="AL883" si="2582">AL882</f>
        <v>0</v>
      </c>
      <c r="AM883" s="306"/>
    </row>
    <row r="884" spans="1:39" hidden="1" outlineLevel="1">
      <c r="A884" s="527"/>
      <c r="B884" s="294"/>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1"/>
      <c r="Z884" s="422"/>
      <c r="AA884" s="422"/>
      <c r="AB884" s="422"/>
      <c r="AC884" s="422"/>
      <c r="AD884" s="422"/>
      <c r="AE884" s="422"/>
      <c r="AF884" s="422"/>
      <c r="AG884" s="422"/>
      <c r="AH884" s="422"/>
      <c r="AI884" s="422"/>
      <c r="AJ884" s="422"/>
      <c r="AK884" s="422"/>
      <c r="AL884" s="422"/>
      <c r="AM884" s="306"/>
    </row>
    <row r="885" spans="1:39" ht="45" hidden="1" outlineLevel="1">
      <c r="A885" s="527">
        <v>29</v>
      </c>
      <c r="B885" s="425" t="s">
        <v>121</v>
      </c>
      <c r="C885" s="291" t="s">
        <v>25</v>
      </c>
      <c r="D885" s="295"/>
      <c r="E885" s="295"/>
      <c r="F885" s="295"/>
      <c r="G885" s="295"/>
      <c r="H885" s="295"/>
      <c r="I885" s="295"/>
      <c r="J885" s="295"/>
      <c r="K885" s="295"/>
      <c r="L885" s="295"/>
      <c r="M885" s="295"/>
      <c r="N885" s="295">
        <v>3</v>
      </c>
      <c r="O885" s="295"/>
      <c r="P885" s="295"/>
      <c r="Q885" s="295"/>
      <c r="R885" s="295"/>
      <c r="S885" s="295"/>
      <c r="T885" s="295"/>
      <c r="U885" s="295"/>
      <c r="V885" s="295"/>
      <c r="W885" s="295"/>
      <c r="X885" s="295"/>
      <c r="Y885" s="423"/>
      <c r="Z885" s="414"/>
      <c r="AA885" s="414"/>
      <c r="AB885" s="414"/>
      <c r="AC885" s="414"/>
      <c r="AD885" s="414"/>
      <c r="AE885" s="414"/>
      <c r="AF885" s="414"/>
      <c r="AG885" s="414"/>
      <c r="AH885" s="414"/>
      <c r="AI885" s="414"/>
      <c r="AJ885" s="414"/>
      <c r="AK885" s="414"/>
      <c r="AL885" s="414"/>
      <c r="AM885" s="296">
        <f>SUM(Y885:AL885)</f>
        <v>0</v>
      </c>
    </row>
    <row r="886" spans="1:39" hidden="1" outlineLevel="1">
      <c r="A886" s="527"/>
      <c r="B886" s="294" t="s">
        <v>342</v>
      </c>
      <c r="C886" s="291" t="s">
        <v>163</v>
      </c>
      <c r="D886" s="295"/>
      <c r="E886" s="295"/>
      <c r="F886" s="295"/>
      <c r="G886" s="295"/>
      <c r="H886" s="295"/>
      <c r="I886" s="295"/>
      <c r="J886" s="295"/>
      <c r="K886" s="295"/>
      <c r="L886" s="295"/>
      <c r="M886" s="295"/>
      <c r="N886" s="295">
        <f>N885</f>
        <v>3</v>
      </c>
      <c r="O886" s="295"/>
      <c r="P886" s="295"/>
      <c r="Q886" s="295"/>
      <c r="R886" s="295"/>
      <c r="S886" s="295"/>
      <c r="T886" s="295"/>
      <c r="U886" s="295"/>
      <c r="V886" s="295"/>
      <c r="W886" s="295"/>
      <c r="X886" s="295"/>
      <c r="Y886" s="410">
        <f>Y885</f>
        <v>0</v>
      </c>
      <c r="Z886" s="410">
        <f t="shared" ref="Z886" si="2583">Z885</f>
        <v>0</v>
      </c>
      <c r="AA886" s="410">
        <f t="shared" ref="AA886" si="2584">AA885</f>
        <v>0</v>
      </c>
      <c r="AB886" s="410">
        <f t="shared" ref="AB886" si="2585">AB885</f>
        <v>0</v>
      </c>
      <c r="AC886" s="410">
        <f t="shared" ref="AC886" si="2586">AC885</f>
        <v>0</v>
      </c>
      <c r="AD886" s="410">
        <f t="shared" ref="AD886" si="2587">AD885</f>
        <v>0</v>
      </c>
      <c r="AE886" s="410">
        <f t="shared" ref="AE886" si="2588">AE885</f>
        <v>0</v>
      </c>
      <c r="AF886" s="410">
        <f t="shared" ref="AF886" si="2589">AF885</f>
        <v>0</v>
      </c>
      <c r="AG886" s="410">
        <f t="shared" ref="AG886" si="2590">AG885</f>
        <v>0</v>
      </c>
      <c r="AH886" s="410">
        <f t="shared" ref="AH886" si="2591">AH885</f>
        <v>0</v>
      </c>
      <c r="AI886" s="410">
        <f t="shared" ref="AI886" si="2592">AI885</f>
        <v>0</v>
      </c>
      <c r="AJ886" s="410">
        <f t="shared" ref="AJ886" si="2593">AJ885</f>
        <v>0</v>
      </c>
      <c r="AK886" s="410">
        <f t="shared" ref="AK886" si="2594">AK885</f>
        <v>0</v>
      </c>
      <c r="AL886" s="410">
        <f t="shared" ref="AL886" si="2595">AL885</f>
        <v>0</v>
      </c>
      <c r="AM886" s="306"/>
    </row>
    <row r="887" spans="1:39" hidden="1" outlineLevel="1">
      <c r="A887" s="527"/>
      <c r="B887" s="294"/>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1"/>
      <c r="Z887" s="422"/>
      <c r="AA887" s="422"/>
      <c r="AB887" s="422"/>
      <c r="AC887" s="422"/>
      <c r="AD887" s="422"/>
      <c r="AE887" s="422"/>
      <c r="AF887" s="422"/>
      <c r="AG887" s="422"/>
      <c r="AH887" s="422"/>
      <c r="AI887" s="422"/>
      <c r="AJ887" s="422"/>
      <c r="AK887" s="422"/>
      <c r="AL887" s="422"/>
      <c r="AM887" s="306"/>
    </row>
    <row r="888" spans="1:39" ht="30" hidden="1" outlineLevel="1">
      <c r="A888" s="527">
        <v>30</v>
      </c>
      <c r="B888" s="425" t="s">
        <v>122</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3"/>
      <c r="Z888" s="414"/>
      <c r="AA888" s="414"/>
      <c r="AB888" s="414"/>
      <c r="AC888" s="414"/>
      <c r="AD888" s="414"/>
      <c r="AE888" s="414"/>
      <c r="AF888" s="414"/>
      <c r="AG888" s="414"/>
      <c r="AH888" s="414"/>
      <c r="AI888" s="414"/>
      <c r="AJ888" s="414"/>
      <c r="AK888" s="414"/>
      <c r="AL888" s="414"/>
      <c r="AM888" s="296">
        <f>SUM(Y888:AL888)</f>
        <v>0</v>
      </c>
    </row>
    <row r="889" spans="1:39" hidden="1" outlineLevel="1">
      <c r="A889" s="527"/>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0">
        <f>Y888</f>
        <v>0</v>
      </c>
      <c r="Z889" s="410">
        <f t="shared" ref="Z889" si="2596">Z888</f>
        <v>0</v>
      </c>
      <c r="AA889" s="410">
        <f t="shared" ref="AA889" si="2597">AA888</f>
        <v>0</v>
      </c>
      <c r="AB889" s="410">
        <f t="shared" ref="AB889" si="2598">AB888</f>
        <v>0</v>
      </c>
      <c r="AC889" s="410">
        <f t="shared" ref="AC889" si="2599">AC888</f>
        <v>0</v>
      </c>
      <c r="AD889" s="410">
        <f t="shared" ref="AD889" si="2600">AD888</f>
        <v>0</v>
      </c>
      <c r="AE889" s="410">
        <f t="shared" ref="AE889" si="2601">AE888</f>
        <v>0</v>
      </c>
      <c r="AF889" s="410">
        <f t="shared" ref="AF889" si="2602">AF888</f>
        <v>0</v>
      </c>
      <c r="AG889" s="410">
        <f t="shared" ref="AG889" si="2603">AG888</f>
        <v>0</v>
      </c>
      <c r="AH889" s="410">
        <f t="shared" ref="AH889" si="2604">AH888</f>
        <v>0</v>
      </c>
      <c r="AI889" s="410">
        <f t="shared" ref="AI889" si="2605">AI888</f>
        <v>0</v>
      </c>
      <c r="AJ889" s="410">
        <f t="shared" ref="AJ889" si="2606">AJ888</f>
        <v>0</v>
      </c>
      <c r="AK889" s="410">
        <f t="shared" ref="AK889" si="2607">AK888</f>
        <v>0</v>
      </c>
      <c r="AL889" s="410">
        <f t="shared" ref="AL889" si="2608">AL888</f>
        <v>0</v>
      </c>
      <c r="AM889" s="306"/>
    </row>
    <row r="890" spans="1:39" hidden="1" outlineLevel="1">
      <c r="A890" s="527"/>
      <c r="B890" s="294"/>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1"/>
      <c r="Z890" s="422"/>
      <c r="AA890" s="422"/>
      <c r="AB890" s="422"/>
      <c r="AC890" s="422"/>
      <c r="AD890" s="422"/>
      <c r="AE890" s="422"/>
      <c r="AF890" s="422"/>
      <c r="AG890" s="422"/>
      <c r="AH890" s="422"/>
      <c r="AI890" s="422"/>
      <c r="AJ890" s="422"/>
      <c r="AK890" s="422"/>
      <c r="AL890" s="422"/>
      <c r="AM890" s="306"/>
    </row>
    <row r="891" spans="1:39" ht="30" hidden="1" outlineLevel="1">
      <c r="A891" s="527">
        <v>31</v>
      </c>
      <c r="B891" s="425" t="s">
        <v>123</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3"/>
      <c r="Z891" s="414"/>
      <c r="AA891" s="414"/>
      <c r="AB891" s="414"/>
      <c r="AC891" s="414"/>
      <c r="AD891" s="414"/>
      <c r="AE891" s="414"/>
      <c r="AF891" s="414"/>
      <c r="AG891" s="414"/>
      <c r="AH891" s="414"/>
      <c r="AI891" s="414"/>
      <c r="AJ891" s="414"/>
      <c r="AK891" s="414"/>
      <c r="AL891" s="414"/>
      <c r="AM891" s="296">
        <f>SUM(Y891:AL891)</f>
        <v>0</v>
      </c>
    </row>
    <row r="892" spans="1:39" hidden="1" outlineLevel="1">
      <c r="A892" s="527"/>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0">
        <f>Y891</f>
        <v>0</v>
      </c>
      <c r="Z892" s="410">
        <f t="shared" ref="Z892" si="2609">Z891</f>
        <v>0</v>
      </c>
      <c r="AA892" s="410">
        <f t="shared" ref="AA892" si="2610">AA891</f>
        <v>0</v>
      </c>
      <c r="AB892" s="410">
        <f t="shared" ref="AB892" si="2611">AB891</f>
        <v>0</v>
      </c>
      <c r="AC892" s="410">
        <f t="shared" ref="AC892" si="2612">AC891</f>
        <v>0</v>
      </c>
      <c r="AD892" s="410">
        <f t="shared" ref="AD892" si="2613">AD891</f>
        <v>0</v>
      </c>
      <c r="AE892" s="410">
        <f t="shared" ref="AE892" si="2614">AE891</f>
        <v>0</v>
      </c>
      <c r="AF892" s="410">
        <f t="shared" ref="AF892" si="2615">AF891</f>
        <v>0</v>
      </c>
      <c r="AG892" s="410">
        <f t="shared" ref="AG892" si="2616">AG891</f>
        <v>0</v>
      </c>
      <c r="AH892" s="410">
        <f t="shared" ref="AH892" si="2617">AH891</f>
        <v>0</v>
      </c>
      <c r="AI892" s="410">
        <f t="shared" ref="AI892" si="2618">AI891</f>
        <v>0</v>
      </c>
      <c r="AJ892" s="410">
        <f t="shared" ref="AJ892" si="2619">AJ891</f>
        <v>0</v>
      </c>
      <c r="AK892" s="410">
        <f t="shared" ref="AK892" si="2620">AK891</f>
        <v>0</v>
      </c>
      <c r="AL892" s="410">
        <f t="shared" ref="AL892" si="2621">AL891</f>
        <v>0</v>
      </c>
      <c r="AM892" s="306"/>
    </row>
    <row r="893" spans="1:39" hidden="1" outlineLevel="1">
      <c r="A893" s="527"/>
      <c r="B893" s="425"/>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1"/>
      <c r="Z893" s="422"/>
      <c r="AA893" s="422"/>
      <c r="AB893" s="422"/>
      <c r="AC893" s="422"/>
      <c r="AD893" s="422"/>
      <c r="AE893" s="422"/>
      <c r="AF893" s="422"/>
      <c r="AG893" s="422"/>
      <c r="AH893" s="422"/>
      <c r="AI893" s="422"/>
      <c r="AJ893" s="422"/>
      <c r="AK893" s="422"/>
      <c r="AL893" s="422"/>
      <c r="AM893" s="306"/>
    </row>
    <row r="894" spans="1:39" ht="30" hidden="1" outlineLevel="1">
      <c r="A894" s="527">
        <v>32</v>
      </c>
      <c r="B894" s="425" t="s">
        <v>124</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3"/>
      <c r="Z894" s="414"/>
      <c r="AA894" s="414"/>
      <c r="AB894" s="414"/>
      <c r="AC894" s="414"/>
      <c r="AD894" s="414"/>
      <c r="AE894" s="414"/>
      <c r="AF894" s="414"/>
      <c r="AG894" s="414"/>
      <c r="AH894" s="414"/>
      <c r="AI894" s="414"/>
      <c r="AJ894" s="414"/>
      <c r="AK894" s="414"/>
      <c r="AL894" s="414"/>
      <c r="AM894" s="296">
        <f>SUM(Y894:AL894)</f>
        <v>0</v>
      </c>
    </row>
    <row r="895" spans="1:39" hidden="1" outlineLevel="1">
      <c r="A895" s="527"/>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0">
        <f>Y894</f>
        <v>0</v>
      </c>
      <c r="Z895" s="410">
        <f t="shared" ref="Z895" si="2622">Z894</f>
        <v>0</v>
      </c>
      <c r="AA895" s="410">
        <f t="shared" ref="AA895" si="2623">AA894</f>
        <v>0</v>
      </c>
      <c r="AB895" s="410">
        <f t="shared" ref="AB895" si="2624">AB894</f>
        <v>0</v>
      </c>
      <c r="AC895" s="410">
        <f t="shared" ref="AC895" si="2625">AC894</f>
        <v>0</v>
      </c>
      <c r="AD895" s="410">
        <f t="shared" ref="AD895" si="2626">AD894</f>
        <v>0</v>
      </c>
      <c r="AE895" s="410">
        <f t="shared" ref="AE895" si="2627">AE894</f>
        <v>0</v>
      </c>
      <c r="AF895" s="410">
        <f t="shared" ref="AF895" si="2628">AF894</f>
        <v>0</v>
      </c>
      <c r="AG895" s="410">
        <f t="shared" ref="AG895" si="2629">AG894</f>
        <v>0</v>
      </c>
      <c r="AH895" s="410">
        <f t="shared" ref="AH895" si="2630">AH894</f>
        <v>0</v>
      </c>
      <c r="AI895" s="410">
        <f t="shared" ref="AI895" si="2631">AI894</f>
        <v>0</v>
      </c>
      <c r="AJ895" s="410">
        <f t="shared" ref="AJ895" si="2632">AJ894</f>
        <v>0</v>
      </c>
      <c r="AK895" s="410">
        <f t="shared" ref="AK895" si="2633">AK894</f>
        <v>0</v>
      </c>
      <c r="AL895" s="410">
        <f>AL894</f>
        <v>0</v>
      </c>
      <c r="AM895" s="306"/>
    </row>
    <row r="896" spans="1:39" hidden="1" outlineLevel="1">
      <c r="A896" s="527"/>
      <c r="B896" s="425"/>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1"/>
      <c r="Z896" s="422"/>
      <c r="AA896" s="422"/>
      <c r="AB896" s="422"/>
      <c r="AC896" s="422"/>
      <c r="AD896" s="422"/>
      <c r="AE896" s="422"/>
      <c r="AF896" s="422"/>
      <c r="AG896" s="422"/>
      <c r="AH896" s="422"/>
      <c r="AI896" s="422"/>
      <c r="AJ896" s="422"/>
      <c r="AK896" s="422"/>
      <c r="AL896" s="422"/>
      <c r="AM896" s="306"/>
    </row>
    <row r="897" spans="1:39" ht="15.75" hidden="1" outlineLevel="1">
      <c r="A897" s="527"/>
      <c r="B897" s="288" t="s">
        <v>501</v>
      </c>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1"/>
      <c r="Z897" s="422"/>
      <c r="AA897" s="422"/>
      <c r="AB897" s="422"/>
      <c r="AC897" s="422"/>
      <c r="AD897" s="422"/>
      <c r="AE897" s="422"/>
      <c r="AF897" s="422"/>
      <c r="AG897" s="422"/>
      <c r="AH897" s="422"/>
      <c r="AI897" s="422"/>
      <c r="AJ897" s="422"/>
      <c r="AK897" s="422"/>
      <c r="AL897" s="422"/>
      <c r="AM897" s="306"/>
    </row>
    <row r="898" spans="1:39" ht="30" hidden="1" outlineLevel="1">
      <c r="A898" s="527">
        <v>33</v>
      </c>
      <c r="B898" s="425" t="s">
        <v>125</v>
      </c>
      <c r="C898" s="291" t="s">
        <v>25</v>
      </c>
      <c r="D898" s="295"/>
      <c r="E898" s="295"/>
      <c r="F898" s="295"/>
      <c r="G898" s="295"/>
      <c r="H898" s="295"/>
      <c r="I898" s="295"/>
      <c r="J898" s="295"/>
      <c r="K898" s="295"/>
      <c r="L898" s="295"/>
      <c r="M898" s="295"/>
      <c r="N898" s="295">
        <v>0</v>
      </c>
      <c r="O898" s="295"/>
      <c r="P898" s="295"/>
      <c r="Q898" s="295"/>
      <c r="R898" s="295"/>
      <c r="S898" s="295"/>
      <c r="T898" s="295"/>
      <c r="U898" s="295"/>
      <c r="V898" s="295"/>
      <c r="W898" s="295"/>
      <c r="X898" s="295"/>
      <c r="Y898" s="423"/>
      <c r="Z898" s="414"/>
      <c r="AA898" s="414"/>
      <c r="AB898" s="414"/>
      <c r="AC898" s="414"/>
      <c r="AD898" s="414"/>
      <c r="AE898" s="414"/>
      <c r="AF898" s="414"/>
      <c r="AG898" s="414"/>
      <c r="AH898" s="414"/>
      <c r="AI898" s="414"/>
      <c r="AJ898" s="414"/>
      <c r="AK898" s="414"/>
      <c r="AL898" s="414"/>
      <c r="AM898" s="296">
        <f>SUM(Y898:AL898)</f>
        <v>0</v>
      </c>
    </row>
    <row r="899" spans="1:39" hidden="1" outlineLevel="1">
      <c r="A899" s="527"/>
      <c r="B899" s="294" t="s">
        <v>342</v>
      </c>
      <c r="C899" s="291" t="s">
        <v>163</v>
      </c>
      <c r="D899" s="295"/>
      <c r="E899" s="295"/>
      <c r="F899" s="295"/>
      <c r="G899" s="295"/>
      <c r="H899" s="295"/>
      <c r="I899" s="295"/>
      <c r="J899" s="295"/>
      <c r="K899" s="295"/>
      <c r="L899" s="295"/>
      <c r="M899" s="295"/>
      <c r="N899" s="295">
        <f>N898</f>
        <v>0</v>
      </c>
      <c r="O899" s="295"/>
      <c r="P899" s="295"/>
      <c r="Q899" s="295"/>
      <c r="R899" s="295"/>
      <c r="S899" s="295"/>
      <c r="T899" s="295"/>
      <c r="U899" s="295"/>
      <c r="V899" s="295"/>
      <c r="W899" s="295"/>
      <c r="X899" s="295"/>
      <c r="Y899" s="410">
        <f>Y898</f>
        <v>0</v>
      </c>
      <c r="Z899" s="410">
        <f t="shared" ref="Z899" si="2634">Z898</f>
        <v>0</v>
      </c>
      <c r="AA899" s="410">
        <f t="shared" ref="AA899" si="2635">AA898</f>
        <v>0</v>
      </c>
      <c r="AB899" s="410">
        <f t="shared" ref="AB899" si="2636">AB898</f>
        <v>0</v>
      </c>
      <c r="AC899" s="410">
        <f t="shared" ref="AC899" si="2637">AC898</f>
        <v>0</v>
      </c>
      <c r="AD899" s="410">
        <f t="shared" ref="AD899" si="2638">AD898</f>
        <v>0</v>
      </c>
      <c r="AE899" s="410">
        <f t="shared" ref="AE899" si="2639">AE898</f>
        <v>0</v>
      </c>
      <c r="AF899" s="410">
        <f t="shared" ref="AF899" si="2640">AF898</f>
        <v>0</v>
      </c>
      <c r="AG899" s="410">
        <f t="shared" ref="AG899" si="2641">AG898</f>
        <v>0</v>
      </c>
      <c r="AH899" s="410">
        <f t="shared" ref="AH899" si="2642">AH898</f>
        <v>0</v>
      </c>
      <c r="AI899" s="410">
        <f t="shared" ref="AI899" si="2643">AI898</f>
        <v>0</v>
      </c>
      <c r="AJ899" s="410">
        <f t="shared" ref="AJ899" si="2644">AJ898</f>
        <v>0</v>
      </c>
      <c r="AK899" s="410">
        <f t="shared" ref="AK899" si="2645">AK898</f>
        <v>0</v>
      </c>
      <c r="AL899" s="410">
        <f t="shared" ref="AL899" si="2646">AL898</f>
        <v>0</v>
      </c>
      <c r="AM899" s="306"/>
    </row>
    <row r="900" spans="1:39" hidden="1" outlineLevel="1">
      <c r="A900" s="527"/>
      <c r="B900" s="425"/>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1"/>
      <c r="Z900" s="422"/>
      <c r="AA900" s="422"/>
      <c r="AB900" s="422"/>
      <c r="AC900" s="422"/>
      <c r="AD900" s="422"/>
      <c r="AE900" s="422"/>
      <c r="AF900" s="422"/>
      <c r="AG900" s="422"/>
      <c r="AH900" s="422"/>
      <c r="AI900" s="422"/>
      <c r="AJ900" s="422"/>
      <c r="AK900" s="422"/>
      <c r="AL900" s="422"/>
      <c r="AM900" s="306"/>
    </row>
    <row r="901" spans="1:39" ht="30" hidden="1" outlineLevel="1">
      <c r="A901" s="527">
        <v>34</v>
      </c>
      <c r="B901" s="425" t="s">
        <v>126</v>
      </c>
      <c r="C901" s="291" t="s">
        <v>25</v>
      </c>
      <c r="D901" s="295"/>
      <c r="E901" s="295"/>
      <c r="F901" s="295"/>
      <c r="G901" s="295"/>
      <c r="H901" s="295"/>
      <c r="I901" s="295"/>
      <c r="J901" s="295"/>
      <c r="K901" s="295"/>
      <c r="L901" s="295"/>
      <c r="M901" s="295"/>
      <c r="N901" s="295">
        <v>0</v>
      </c>
      <c r="O901" s="295"/>
      <c r="P901" s="295"/>
      <c r="Q901" s="295"/>
      <c r="R901" s="295"/>
      <c r="S901" s="295"/>
      <c r="T901" s="295"/>
      <c r="U901" s="295"/>
      <c r="V901" s="295"/>
      <c r="W901" s="295"/>
      <c r="X901" s="295"/>
      <c r="Y901" s="423"/>
      <c r="Z901" s="414"/>
      <c r="AA901" s="414"/>
      <c r="AB901" s="414"/>
      <c r="AC901" s="414"/>
      <c r="AD901" s="414"/>
      <c r="AE901" s="414"/>
      <c r="AF901" s="414"/>
      <c r="AG901" s="414"/>
      <c r="AH901" s="414"/>
      <c r="AI901" s="414"/>
      <c r="AJ901" s="414"/>
      <c r="AK901" s="414"/>
      <c r="AL901" s="414"/>
      <c r="AM901" s="296">
        <f>SUM(Y901:AL901)</f>
        <v>0</v>
      </c>
    </row>
    <row r="902" spans="1:39" hidden="1" outlineLevel="1">
      <c r="A902" s="527"/>
      <c r="B902" s="294" t="s">
        <v>342</v>
      </c>
      <c r="C902" s="291" t="s">
        <v>163</v>
      </c>
      <c r="D902" s="295"/>
      <c r="E902" s="295"/>
      <c r="F902" s="295"/>
      <c r="G902" s="295"/>
      <c r="H902" s="295"/>
      <c r="I902" s="295"/>
      <c r="J902" s="295"/>
      <c r="K902" s="295"/>
      <c r="L902" s="295"/>
      <c r="M902" s="295"/>
      <c r="N902" s="295">
        <f>N901</f>
        <v>0</v>
      </c>
      <c r="O902" s="295"/>
      <c r="P902" s="295"/>
      <c r="Q902" s="295"/>
      <c r="R902" s="295"/>
      <c r="S902" s="295"/>
      <c r="T902" s="295"/>
      <c r="U902" s="295"/>
      <c r="V902" s="295"/>
      <c r="W902" s="295"/>
      <c r="X902" s="295"/>
      <c r="Y902" s="410">
        <f>Y901</f>
        <v>0</v>
      </c>
      <c r="Z902" s="410">
        <f t="shared" ref="Z902" si="2647">Z901</f>
        <v>0</v>
      </c>
      <c r="AA902" s="410">
        <f t="shared" ref="AA902" si="2648">AA901</f>
        <v>0</v>
      </c>
      <c r="AB902" s="410">
        <f t="shared" ref="AB902" si="2649">AB901</f>
        <v>0</v>
      </c>
      <c r="AC902" s="410">
        <f t="shared" ref="AC902" si="2650">AC901</f>
        <v>0</v>
      </c>
      <c r="AD902" s="410">
        <f t="shared" ref="AD902" si="2651">AD901</f>
        <v>0</v>
      </c>
      <c r="AE902" s="410">
        <f t="shared" ref="AE902" si="2652">AE901</f>
        <v>0</v>
      </c>
      <c r="AF902" s="410">
        <f t="shared" ref="AF902" si="2653">AF901</f>
        <v>0</v>
      </c>
      <c r="AG902" s="410">
        <f t="shared" ref="AG902" si="2654">AG901</f>
        <v>0</v>
      </c>
      <c r="AH902" s="410">
        <f t="shared" ref="AH902" si="2655">AH901</f>
        <v>0</v>
      </c>
      <c r="AI902" s="410">
        <f t="shared" ref="AI902" si="2656">AI901</f>
        <v>0</v>
      </c>
      <c r="AJ902" s="410">
        <f t="shared" ref="AJ902" si="2657">AJ901</f>
        <v>0</v>
      </c>
      <c r="AK902" s="410">
        <f t="shared" ref="AK902" si="2658">AK901</f>
        <v>0</v>
      </c>
      <c r="AL902" s="410">
        <f t="shared" ref="AL902" si="2659">AL901</f>
        <v>0</v>
      </c>
      <c r="AM902" s="306"/>
    </row>
    <row r="903" spans="1:39" hidden="1" outlineLevel="1">
      <c r="A903" s="527"/>
      <c r="B903" s="425"/>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1"/>
      <c r="Z903" s="422"/>
      <c r="AA903" s="422"/>
      <c r="AB903" s="422"/>
      <c r="AC903" s="422"/>
      <c r="AD903" s="422"/>
      <c r="AE903" s="422"/>
      <c r="AF903" s="422"/>
      <c r="AG903" s="422"/>
      <c r="AH903" s="422"/>
      <c r="AI903" s="422"/>
      <c r="AJ903" s="422"/>
      <c r="AK903" s="422"/>
      <c r="AL903" s="422"/>
      <c r="AM903" s="306"/>
    </row>
    <row r="904" spans="1:39" ht="30" hidden="1" outlineLevel="1">
      <c r="A904" s="527">
        <v>35</v>
      </c>
      <c r="B904" s="425" t="s">
        <v>127</v>
      </c>
      <c r="C904" s="291" t="s">
        <v>25</v>
      </c>
      <c r="D904" s="295"/>
      <c r="E904" s="295"/>
      <c r="F904" s="295"/>
      <c r="G904" s="295"/>
      <c r="H904" s="295"/>
      <c r="I904" s="295"/>
      <c r="J904" s="295"/>
      <c r="K904" s="295"/>
      <c r="L904" s="295"/>
      <c r="M904" s="295"/>
      <c r="N904" s="295">
        <v>0</v>
      </c>
      <c r="O904" s="295"/>
      <c r="P904" s="295"/>
      <c r="Q904" s="295"/>
      <c r="R904" s="295"/>
      <c r="S904" s="295"/>
      <c r="T904" s="295"/>
      <c r="U904" s="295"/>
      <c r="V904" s="295"/>
      <c r="W904" s="295"/>
      <c r="X904" s="295"/>
      <c r="Y904" s="423"/>
      <c r="Z904" s="414"/>
      <c r="AA904" s="414"/>
      <c r="AB904" s="414"/>
      <c r="AC904" s="414"/>
      <c r="AD904" s="414"/>
      <c r="AE904" s="414"/>
      <c r="AF904" s="414"/>
      <c r="AG904" s="414"/>
      <c r="AH904" s="414"/>
      <c r="AI904" s="414"/>
      <c r="AJ904" s="414"/>
      <c r="AK904" s="414"/>
      <c r="AL904" s="414"/>
      <c r="AM904" s="296">
        <f>SUM(Y904:AL904)</f>
        <v>0</v>
      </c>
    </row>
    <row r="905" spans="1:39" hidden="1" outlineLevel="1">
      <c r="A905" s="527"/>
      <c r="B905" s="294" t="s">
        <v>342</v>
      </c>
      <c r="C905" s="291" t="s">
        <v>163</v>
      </c>
      <c r="D905" s="295"/>
      <c r="E905" s="295"/>
      <c r="F905" s="295"/>
      <c r="G905" s="295"/>
      <c r="H905" s="295"/>
      <c r="I905" s="295"/>
      <c r="J905" s="295"/>
      <c r="K905" s="295"/>
      <c r="L905" s="295"/>
      <c r="M905" s="295"/>
      <c r="N905" s="295">
        <f>N904</f>
        <v>0</v>
      </c>
      <c r="O905" s="295"/>
      <c r="P905" s="295"/>
      <c r="Q905" s="295"/>
      <c r="R905" s="295"/>
      <c r="S905" s="295"/>
      <c r="T905" s="295"/>
      <c r="U905" s="295"/>
      <c r="V905" s="295"/>
      <c r="W905" s="295"/>
      <c r="X905" s="295"/>
      <c r="Y905" s="410">
        <f>Y904</f>
        <v>0</v>
      </c>
      <c r="Z905" s="410">
        <f t="shared" ref="Z905" si="2660">Z904</f>
        <v>0</v>
      </c>
      <c r="AA905" s="410">
        <f t="shared" ref="AA905" si="2661">AA904</f>
        <v>0</v>
      </c>
      <c r="AB905" s="410">
        <f t="shared" ref="AB905" si="2662">AB904</f>
        <v>0</v>
      </c>
      <c r="AC905" s="410">
        <f t="shared" ref="AC905" si="2663">AC904</f>
        <v>0</v>
      </c>
      <c r="AD905" s="410">
        <f t="shared" ref="AD905" si="2664">AD904</f>
        <v>0</v>
      </c>
      <c r="AE905" s="410">
        <f t="shared" ref="AE905" si="2665">AE904</f>
        <v>0</v>
      </c>
      <c r="AF905" s="410">
        <f t="shared" ref="AF905" si="2666">AF904</f>
        <v>0</v>
      </c>
      <c r="AG905" s="410">
        <f t="shared" ref="AG905" si="2667">AG904</f>
        <v>0</v>
      </c>
      <c r="AH905" s="410">
        <f t="shared" ref="AH905" si="2668">AH904</f>
        <v>0</v>
      </c>
      <c r="AI905" s="410">
        <f t="shared" ref="AI905" si="2669">AI904</f>
        <v>0</v>
      </c>
      <c r="AJ905" s="410">
        <f t="shared" ref="AJ905" si="2670">AJ904</f>
        <v>0</v>
      </c>
      <c r="AK905" s="410">
        <f t="shared" ref="AK905" si="2671">AK904</f>
        <v>0</v>
      </c>
      <c r="AL905" s="410">
        <f t="shared" ref="AL905" si="2672">AL904</f>
        <v>0</v>
      </c>
      <c r="AM905" s="306"/>
    </row>
    <row r="906" spans="1:39" hidden="1" outlineLevel="1">
      <c r="A906" s="527"/>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1"/>
      <c r="Z906" s="422"/>
      <c r="AA906" s="422"/>
      <c r="AB906" s="422"/>
      <c r="AC906" s="422"/>
      <c r="AD906" s="422"/>
      <c r="AE906" s="422"/>
      <c r="AF906" s="422"/>
      <c r="AG906" s="422"/>
      <c r="AH906" s="422"/>
      <c r="AI906" s="422"/>
      <c r="AJ906" s="422"/>
      <c r="AK906" s="422"/>
      <c r="AL906" s="422"/>
      <c r="AM906" s="306"/>
    </row>
    <row r="907" spans="1:39" ht="15.75" hidden="1" outlineLevel="1">
      <c r="A907" s="527"/>
      <c r="B907" s="288" t="s">
        <v>502</v>
      </c>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1"/>
      <c r="Z907" s="422"/>
      <c r="AA907" s="422"/>
      <c r="AB907" s="422"/>
      <c r="AC907" s="422"/>
      <c r="AD907" s="422"/>
      <c r="AE907" s="422"/>
      <c r="AF907" s="422"/>
      <c r="AG907" s="422"/>
      <c r="AH907" s="422"/>
      <c r="AI907" s="422"/>
      <c r="AJ907" s="422"/>
      <c r="AK907" s="422"/>
      <c r="AL907" s="422"/>
      <c r="AM907" s="306"/>
    </row>
    <row r="908" spans="1:39" ht="75" hidden="1" outlineLevel="1">
      <c r="A908" s="527">
        <v>36</v>
      </c>
      <c r="B908" s="425" t="s">
        <v>128</v>
      </c>
      <c r="C908" s="291" t="s">
        <v>25</v>
      </c>
      <c r="D908" s="295"/>
      <c r="E908" s="295"/>
      <c r="F908" s="295"/>
      <c r="G908" s="295"/>
      <c r="H908" s="295"/>
      <c r="I908" s="295"/>
      <c r="J908" s="295"/>
      <c r="K908" s="295"/>
      <c r="L908" s="295"/>
      <c r="M908" s="295"/>
      <c r="N908" s="295">
        <v>12</v>
      </c>
      <c r="O908" s="295"/>
      <c r="P908" s="295"/>
      <c r="Q908" s="295"/>
      <c r="R908" s="295"/>
      <c r="S908" s="295"/>
      <c r="T908" s="295"/>
      <c r="U908" s="295"/>
      <c r="V908" s="295"/>
      <c r="W908" s="295"/>
      <c r="X908" s="295"/>
      <c r="Y908" s="423"/>
      <c r="Z908" s="414"/>
      <c r="AA908" s="414"/>
      <c r="AB908" s="414"/>
      <c r="AC908" s="414"/>
      <c r="AD908" s="414"/>
      <c r="AE908" s="414"/>
      <c r="AF908" s="414"/>
      <c r="AG908" s="414"/>
      <c r="AH908" s="414"/>
      <c r="AI908" s="414"/>
      <c r="AJ908" s="414"/>
      <c r="AK908" s="414"/>
      <c r="AL908" s="414"/>
      <c r="AM908" s="296">
        <f>SUM(Y908:AL908)</f>
        <v>0</v>
      </c>
    </row>
    <row r="909" spans="1:39" hidden="1" outlineLevel="1">
      <c r="A909" s="527"/>
      <c r="B909" s="294" t="s">
        <v>342</v>
      </c>
      <c r="C909" s="291" t="s">
        <v>163</v>
      </c>
      <c r="D909" s="295"/>
      <c r="E909" s="295"/>
      <c r="F909" s="295"/>
      <c r="G909" s="295"/>
      <c r="H909" s="295"/>
      <c r="I909" s="295"/>
      <c r="J909" s="295"/>
      <c r="K909" s="295"/>
      <c r="L909" s="295"/>
      <c r="M909" s="295"/>
      <c r="N909" s="295">
        <f>N908</f>
        <v>12</v>
      </c>
      <c r="O909" s="295"/>
      <c r="P909" s="295"/>
      <c r="Q909" s="295"/>
      <c r="R909" s="295"/>
      <c r="S909" s="295"/>
      <c r="T909" s="295"/>
      <c r="U909" s="295"/>
      <c r="V909" s="295"/>
      <c r="W909" s="295"/>
      <c r="X909" s="295"/>
      <c r="Y909" s="410">
        <f>Y908</f>
        <v>0</v>
      </c>
      <c r="Z909" s="410">
        <f t="shared" ref="Z909" si="2673">Z908</f>
        <v>0</v>
      </c>
      <c r="AA909" s="410">
        <f t="shared" ref="AA909" si="2674">AA908</f>
        <v>0</v>
      </c>
      <c r="AB909" s="410">
        <f t="shared" ref="AB909" si="2675">AB908</f>
        <v>0</v>
      </c>
      <c r="AC909" s="410">
        <f t="shared" ref="AC909" si="2676">AC908</f>
        <v>0</v>
      </c>
      <c r="AD909" s="410">
        <f t="shared" ref="AD909" si="2677">AD908</f>
        <v>0</v>
      </c>
      <c r="AE909" s="410">
        <f t="shared" ref="AE909" si="2678">AE908</f>
        <v>0</v>
      </c>
      <c r="AF909" s="410">
        <f t="shared" ref="AF909" si="2679">AF908</f>
        <v>0</v>
      </c>
      <c r="AG909" s="410">
        <f t="shared" ref="AG909" si="2680">AG908</f>
        <v>0</v>
      </c>
      <c r="AH909" s="410">
        <f t="shared" ref="AH909" si="2681">AH908</f>
        <v>0</v>
      </c>
      <c r="AI909" s="410">
        <f t="shared" ref="AI909" si="2682">AI908</f>
        <v>0</v>
      </c>
      <c r="AJ909" s="410">
        <f t="shared" ref="AJ909" si="2683">AJ908</f>
        <v>0</v>
      </c>
      <c r="AK909" s="410">
        <f t="shared" ref="AK909" si="2684">AK908</f>
        <v>0</v>
      </c>
      <c r="AL909" s="410">
        <f t="shared" ref="AL909" si="2685">AL908</f>
        <v>0</v>
      </c>
      <c r="AM909" s="306"/>
    </row>
    <row r="910" spans="1:39" hidden="1" outlineLevel="1">
      <c r="A910" s="527"/>
      <c r="B910" s="425"/>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1"/>
      <c r="Z910" s="422"/>
      <c r="AA910" s="422"/>
      <c r="AB910" s="422"/>
      <c r="AC910" s="422"/>
      <c r="AD910" s="422"/>
      <c r="AE910" s="422"/>
      <c r="AF910" s="422"/>
      <c r="AG910" s="422"/>
      <c r="AH910" s="422"/>
      <c r="AI910" s="422"/>
      <c r="AJ910" s="422"/>
      <c r="AK910" s="422"/>
      <c r="AL910" s="422"/>
      <c r="AM910" s="306"/>
    </row>
    <row r="911" spans="1:39" ht="30" hidden="1" outlineLevel="1">
      <c r="A911" s="527">
        <v>37</v>
      </c>
      <c r="B911" s="425" t="s">
        <v>129</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3"/>
      <c r="Z911" s="414"/>
      <c r="AA911" s="414"/>
      <c r="AB911" s="414"/>
      <c r="AC911" s="414"/>
      <c r="AD911" s="414"/>
      <c r="AE911" s="414"/>
      <c r="AF911" s="414"/>
      <c r="AG911" s="414"/>
      <c r="AH911" s="414"/>
      <c r="AI911" s="414"/>
      <c r="AJ911" s="414"/>
      <c r="AK911" s="414"/>
      <c r="AL911" s="414"/>
      <c r="AM911" s="296">
        <f>SUM(Y911:AL911)</f>
        <v>0</v>
      </c>
    </row>
    <row r="912" spans="1:39" hidden="1" outlineLevel="1">
      <c r="A912" s="527"/>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0">
        <f>Y911</f>
        <v>0</v>
      </c>
      <c r="Z912" s="410">
        <f t="shared" ref="Z912" si="2686">Z911</f>
        <v>0</v>
      </c>
      <c r="AA912" s="410">
        <f t="shared" ref="AA912" si="2687">AA911</f>
        <v>0</v>
      </c>
      <c r="AB912" s="410">
        <f t="shared" ref="AB912" si="2688">AB911</f>
        <v>0</v>
      </c>
      <c r="AC912" s="410">
        <f t="shared" ref="AC912" si="2689">AC911</f>
        <v>0</v>
      </c>
      <c r="AD912" s="410">
        <f t="shared" ref="AD912" si="2690">AD911</f>
        <v>0</v>
      </c>
      <c r="AE912" s="410">
        <f t="shared" ref="AE912" si="2691">AE911</f>
        <v>0</v>
      </c>
      <c r="AF912" s="410">
        <f t="shared" ref="AF912" si="2692">AF911</f>
        <v>0</v>
      </c>
      <c r="AG912" s="410">
        <f t="shared" ref="AG912" si="2693">AG911</f>
        <v>0</v>
      </c>
      <c r="AH912" s="410">
        <f t="shared" ref="AH912" si="2694">AH911</f>
        <v>0</v>
      </c>
      <c r="AI912" s="410">
        <f t="shared" ref="AI912" si="2695">AI911</f>
        <v>0</v>
      </c>
      <c r="AJ912" s="410">
        <f t="shared" ref="AJ912" si="2696">AJ911</f>
        <v>0</v>
      </c>
      <c r="AK912" s="410">
        <f t="shared" ref="AK912" si="2697">AK911</f>
        <v>0</v>
      </c>
      <c r="AL912" s="410">
        <f t="shared" ref="AL912" si="2698">AL911</f>
        <v>0</v>
      </c>
      <c r="AM912" s="306"/>
    </row>
    <row r="913" spans="1:39" hidden="1" outlineLevel="1">
      <c r="A913" s="527"/>
      <c r="B913" s="425"/>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1"/>
      <c r="Z913" s="422"/>
      <c r="AA913" s="422"/>
      <c r="AB913" s="422"/>
      <c r="AC913" s="422"/>
      <c r="AD913" s="422"/>
      <c r="AE913" s="422"/>
      <c r="AF913" s="422"/>
      <c r="AG913" s="422"/>
      <c r="AH913" s="422"/>
      <c r="AI913" s="422"/>
      <c r="AJ913" s="422"/>
      <c r="AK913" s="422"/>
      <c r="AL913" s="422"/>
      <c r="AM913" s="306"/>
    </row>
    <row r="914" spans="1:39" ht="30" hidden="1" outlineLevel="1">
      <c r="A914" s="527">
        <v>38</v>
      </c>
      <c r="B914" s="425" t="s">
        <v>130</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3"/>
      <c r="Z914" s="414"/>
      <c r="AA914" s="414"/>
      <c r="AB914" s="414"/>
      <c r="AC914" s="414"/>
      <c r="AD914" s="414"/>
      <c r="AE914" s="414"/>
      <c r="AF914" s="414"/>
      <c r="AG914" s="414"/>
      <c r="AH914" s="414"/>
      <c r="AI914" s="414"/>
      <c r="AJ914" s="414"/>
      <c r="AK914" s="414"/>
      <c r="AL914" s="414"/>
      <c r="AM914" s="296">
        <f>SUM(Y914:AL914)</f>
        <v>0</v>
      </c>
    </row>
    <row r="915" spans="1:39" hidden="1" outlineLevel="1">
      <c r="A915" s="527"/>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0">
        <f>Y914</f>
        <v>0</v>
      </c>
      <c r="Z915" s="410">
        <f t="shared" ref="Z915" si="2699">Z914</f>
        <v>0</v>
      </c>
      <c r="AA915" s="410">
        <f t="shared" ref="AA915" si="2700">AA914</f>
        <v>0</v>
      </c>
      <c r="AB915" s="410">
        <f t="shared" ref="AB915" si="2701">AB914</f>
        <v>0</v>
      </c>
      <c r="AC915" s="410">
        <f t="shared" ref="AC915" si="2702">AC914</f>
        <v>0</v>
      </c>
      <c r="AD915" s="410">
        <f t="shared" ref="AD915" si="2703">AD914</f>
        <v>0</v>
      </c>
      <c r="AE915" s="410">
        <f t="shared" ref="AE915" si="2704">AE914</f>
        <v>0</v>
      </c>
      <c r="AF915" s="410">
        <f t="shared" ref="AF915" si="2705">AF914</f>
        <v>0</v>
      </c>
      <c r="AG915" s="410">
        <f t="shared" ref="AG915" si="2706">AG914</f>
        <v>0</v>
      </c>
      <c r="AH915" s="410">
        <f t="shared" ref="AH915" si="2707">AH914</f>
        <v>0</v>
      </c>
      <c r="AI915" s="410">
        <f t="shared" ref="AI915" si="2708">AI914</f>
        <v>0</v>
      </c>
      <c r="AJ915" s="410">
        <f t="shared" ref="AJ915" si="2709">AJ914</f>
        <v>0</v>
      </c>
      <c r="AK915" s="410">
        <f t="shared" ref="AK915" si="2710">AK914</f>
        <v>0</v>
      </c>
      <c r="AL915" s="410">
        <f t="shared" ref="AL915" si="2711">AL914</f>
        <v>0</v>
      </c>
      <c r="AM915" s="306"/>
    </row>
    <row r="916" spans="1:39" hidden="1" outlineLevel="1">
      <c r="A916" s="527"/>
      <c r="B916" s="425"/>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1"/>
      <c r="Z916" s="422"/>
      <c r="AA916" s="422"/>
      <c r="AB916" s="422"/>
      <c r="AC916" s="422"/>
      <c r="AD916" s="422"/>
      <c r="AE916" s="422"/>
      <c r="AF916" s="422"/>
      <c r="AG916" s="422"/>
      <c r="AH916" s="422"/>
      <c r="AI916" s="422"/>
      <c r="AJ916" s="422"/>
      <c r="AK916" s="422"/>
      <c r="AL916" s="422"/>
      <c r="AM916" s="306"/>
    </row>
    <row r="917" spans="1:39" ht="30" hidden="1" outlineLevel="1">
      <c r="A917" s="527">
        <v>39</v>
      </c>
      <c r="B917" s="425" t="s">
        <v>131</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3"/>
      <c r="Z917" s="414"/>
      <c r="AA917" s="414"/>
      <c r="AB917" s="414"/>
      <c r="AC917" s="414"/>
      <c r="AD917" s="414"/>
      <c r="AE917" s="414"/>
      <c r="AF917" s="414"/>
      <c r="AG917" s="414"/>
      <c r="AH917" s="414"/>
      <c r="AI917" s="414"/>
      <c r="AJ917" s="414"/>
      <c r="AK917" s="414"/>
      <c r="AL917" s="414"/>
      <c r="AM917" s="296">
        <f>SUM(Y917:AL917)</f>
        <v>0</v>
      </c>
    </row>
    <row r="918" spans="1:39" hidden="1" outlineLevel="1">
      <c r="A918" s="527"/>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0">
        <f>Y917</f>
        <v>0</v>
      </c>
      <c r="Z918" s="410">
        <f t="shared" ref="Z918" si="2712">Z917</f>
        <v>0</v>
      </c>
      <c r="AA918" s="410">
        <f t="shared" ref="AA918" si="2713">AA917</f>
        <v>0</v>
      </c>
      <c r="AB918" s="410">
        <f t="shared" ref="AB918" si="2714">AB917</f>
        <v>0</v>
      </c>
      <c r="AC918" s="410">
        <f t="shared" ref="AC918" si="2715">AC917</f>
        <v>0</v>
      </c>
      <c r="AD918" s="410">
        <f t="shared" ref="AD918" si="2716">AD917</f>
        <v>0</v>
      </c>
      <c r="AE918" s="410">
        <f t="shared" ref="AE918" si="2717">AE917</f>
        <v>0</v>
      </c>
      <c r="AF918" s="410">
        <f t="shared" ref="AF918" si="2718">AF917</f>
        <v>0</v>
      </c>
      <c r="AG918" s="410">
        <f t="shared" ref="AG918" si="2719">AG917</f>
        <v>0</v>
      </c>
      <c r="AH918" s="410">
        <f t="shared" ref="AH918" si="2720">AH917</f>
        <v>0</v>
      </c>
      <c r="AI918" s="410">
        <f t="shared" ref="AI918" si="2721">AI917</f>
        <v>0</v>
      </c>
      <c r="AJ918" s="410">
        <f t="shared" ref="AJ918" si="2722">AJ917</f>
        <v>0</v>
      </c>
      <c r="AK918" s="410">
        <f t="shared" ref="AK918" si="2723">AK917</f>
        <v>0</v>
      </c>
      <c r="AL918" s="410">
        <f t="shared" ref="AL918" si="2724">AL917</f>
        <v>0</v>
      </c>
      <c r="AM918" s="306"/>
    </row>
    <row r="919" spans="1:39" hidden="1" outlineLevel="1">
      <c r="A919" s="527"/>
      <c r="B919" s="425"/>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1"/>
      <c r="Z919" s="422"/>
      <c r="AA919" s="422"/>
      <c r="AB919" s="422"/>
      <c r="AC919" s="422"/>
      <c r="AD919" s="422"/>
      <c r="AE919" s="422"/>
      <c r="AF919" s="422"/>
      <c r="AG919" s="422"/>
      <c r="AH919" s="422"/>
      <c r="AI919" s="422"/>
      <c r="AJ919" s="422"/>
      <c r="AK919" s="422"/>
      <c r="AL919" s="422"/>
      <c r="AM919" s="306"/>
    </row>
    <row r="920" spans="1:39" ht="30" hidden="1" outlineLevel="1">
      <c r="A920" s="527">
        <v>40</v>
      </c>
      <c r="B920" s="425" t="s">
        <v>132</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3"/>
      <c r="Z920" s="414"/>
      <c r="AA920" s="414"/>
      <c r="AB920" s="414"/>
      <c r="AC920" s="414"/>
      <c r="AD920" s="414"/>
      <c r="AE920" s="414"/>
      <c r="AF920" s="414"/>
      <c r="AG920" s="414"/>
      <c r="AH920" s="414"/>
      <c r="AI920" s="414"/>
      <c r="AJ920" s="414"/>
      <c r="AK920" s="414"/>
      <c r="AL920" s="414"/>
      <c r="AM920" s="296">
        <f>SUM(Y920:AL920)</f>
        <v>0</v>
      </c>
    </row>
    <row r="921" spans="1:39" hidden="1" outlineLevel="1">
      <c r="A921" s="527"/>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0">
        <f>Y920</f>
        <v>0</v>
      </c>
      <c r="Z921" s="410">
        <f t="shared" ref="Z921" si="2725">Z920</f>
        <v>0</v>
      </c>
      <c r="AA921" s="410">
        <f t="shared" ref="AA921" si="2726">AA920</f>
        <v>0</v>
      </c>
      <c r="AB921" s="410">
        <f t="shared" ref="AB921" si="2727">AB920</f>
        <v>0</v>
      </c>
      <c r="AC921" s="410">
        <f t="shared" ref="AC921" si="2728">AC920</f>
        <v>0</v>
      </c>
      <c r="AD921" s="410">
        <f t="shared" ref="AD921" si="2729">AD920</f>
        <v>0</v>
      </c>
      <c r="AE921" s="410">
        <f t="shared" ref="AE921" si="2730">AE920</f>
        <v>0</v>
      </c>
      <c r="AF921" s="410">
        <f t="shared" ref="AF921" si="2731">AF920</f>
        <v>0</v>
      </c>
      <c r="AG921" s="410">
        <f t="shared" ref="AG921" si="2732">AG920</f>
        <v>0</v>
      </c>
      <c r="AH921" s="410">
        <f t="shared" ref="AH921" si="2733">AH920</f>
        <v>0</v>
      </c>
      <c r="AI921" s="410">
        <f t="shared" ref="AI921" si="2734">AI920</f>
        <v>0</v>
      </c>
      <c r="AJ921" s="410">
        <f t="shared" ref="AJ921" si="2735">AJ920</f>
        <v>0</v>
      </c>
      <c r="AK921" s="410">
        <f t="shared" ref="AK921" si="2736">AK920</f>
        <v>0</v>
      </c>
      <c r="AL921" s="410">
        <f t="shared" ref="AL921" si="2737">AL920</f>
        <v>0</v>
      </c>
      <c r="AM921" s="306"/>
    </row>
    <row r="922" spans="1:39" hidden="1" outlineLevel="1">
      <c r="A922" s="527"/>
      <c r="B922" s="425"/>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1"/>
      <c r="Z922" s="422"/>
      <c r="AA922" s="422"/>
      <c r="AB922" s="422"/>
      <c r="AC922" s="422"/>
      <c r="AD922" s="422"/>
      <c r="AE922" s="422"/>
      <c r="AF922" s="422"/>
      <c r="AG922" s="422"/>
      <c r="AH922" s="422"/>
      <c r="AI922" s="422"/>
      <c r="AJ922" s="422"/>
      <c r="AK922" s="422"/>
      <c r="AL922" s="422"/>
      <c r="AM922" s="306"/>
    </row>
    <row r="923" spans="1:39" ht="60" hidden="1" outlineLevel="1">
      <c r="A923" s="527">
        <v>41</v>
      </c>
      <c r="B923" s="425" t="s">
        <v>133</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3"/>
      <c r="Z923" s="414"/>
      <c r="AA923" s="414"/>
      <c r="AB923" s="414"/>
      <c r="AC923" s="414"/>
      <c r="AD923" s="414"/>
      <c r="AE923" s="414"/>
      <c r="AF923" s="414"/>
      <c r="AG923" s="414"/>
      <c r="AH923" s="414"/>
      <c r="AI923" s="414"/>
      <c r="AJ923" s="414"/>
      <c r="AK923" s="414"/>
      <c r="AL923" s="414"/>
      <c r="AM923" s="296">
        <f>SUM(Y923:AL923)</f>
        <v>0</v>
      </c>
    </row>
    <row r="924" spans="1:39" hidden="1" outlineLevel="1">
      <c r="A924" s="527"/>
      <c r="B924" s="294" t="s">
        <v>342</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0">
        <f>Y923</f>
        <v>0</v>
      </c>
      <c r="Z924" s="410">
        <f t="shared" ref="Z924" si="2738">Z923</f>
        <v>0</v>
      </c>
      <c r="AA924" s="410">
        <f t="shared" ref="AA924" si="2739">AA923</f>
        <v>0</v>
      </c>
      <c r="AB924" s="410">
        <f t="shared" ref="AB924" si="2740">AB923</f>
        <v>0</v>
      </c>
      <c r="AC924" s="410">
        <f t="shared" ref="AC924" si="2741">AC923</f>
        <v>0</v>
      </c>
      <c r="AD924" s="410">
        <f t="shared" ref="AD924" si="2742">AD923</f>
        <v>0</v>
      </c>
      <c r="AE924" s="410">
        <f t="shared" ref="AE924" si="2743">AE923</f>
        <v>0</v>
      </c>
      <c r="AF924" s="410">
        <f t="shared" ref="AF924" si="2744">AF923</f>
        <v>0</v>
      </c>
      <c r="AG924" s="410">
        <f t="shared" ref="AG924" si="2745">AG923</f>
        <v>0</v>
      </c>
      <c r="AH924" s="410">
        <f t="shared" ref="AH924" si="2746">AH923</f>
        <v>0</v>
      </c>
      <c r="AI924" s="410">
        <f t="shared" ref="AI924" si="2747">AI923</f>
        <v>0</v>
      </c>
      <c r="AJ924" s="410">
        <f t="shared" ref="AJ924" si="2748">AJ923</f>
        <v>0</v>
      </c>
      <c r="AK924" s="410">
        <f t="shared" ref="AK924" si="2749">AK923</f>
        <v>0</v>
      </c>
      <c r="AL924" s="410">
        <f t="shared" ref="AL924" si="2750">AL923</f>
        <v>0</v>
      </c>
      <c r="AM924" s="306"/>
    </row>
    <row r="925" spans="1:39" hidden="1" outlineLevel="1">
      <c r="A925" s="527"/>
      <c r="B925" s="425"/>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1"/>
      <c r="Z925" s="422"/>
      <c r="AA925" s="422"/>
      <c r="AB925" s="422"/>
      <c r="AC925" s="422"/>
      <c r="AD925" s="422"/>
      <c r="AE925" s="422"/>
      <c r="AF925" s="422"/>
      <c r="AG925" s="422"/>
      <c r="AH925" s="422"/>
      <c r="AI925" s="422"/>
      <c r="AJ925" s="422"/>
      <c r="AK925" s="422"/>
      <c r="AL925" s="422"/>
      <c r="AM925" s="306"/>
    </row>
    <row r="926" spans="1:39" ht="60" hidden="1" outlineLevel="1">
      <c r="A926" s="527">
        <v>42</v>
      </c>
      <c r="B926" s="425" t="s">
        <v>134</v>
      </c>
      <c r="C926" s="291" t="s">
        <v>25</v>
      </c>
      <c r="D926" s="295"/>
      <c r="E926" s="295"/>
      <c r="F926" s="295"/>
      <c r="G926" s="295"/>
      <c r="H926" s="295"/>
      <c r="I926" s="295"/>
      <c r="J926" s="295"/>
      <c r="K926" s="295"/>
      <c r="L926" s="295"/>
      <c r="M926" s="295"/>
      <c r="N926" s="291"/>
      <c r="O926" s="295"/>
      <c r="P926" s="295"/>
      <c r="Q926" s="295"/>
      <c r="R926" s="295"/>
      <c r="S926" s="295"/>
      <c r="T926" s="295"/>
      <c r="U926" s="295"/>
      <c r="V926" s="295"/>
      <c r="W926" s="295"/>
      <c r="X926" s="295"/>
      <c r="Y926" s="423"/>
      <c r="Z926" s="414"/>
      <c r="AA926" s="414"/>
      <c r="AB926" s="414"/>
      <c r="AC926" s="414"/>
      <c r="AD926" s="414"/>
      <c r="AE926" s="414"/>
      <c r="AF926" s="414"/>
      <c r="AG926" s="414"/>
      <c r="AH926" s="414"/>
      <c r="AI926" s="414"/>
      <c r="AJ926" s="414"/>
      <c r="AK926" s="414"/>
      <c r="AL926" s="414"/>
      <c r="AM926" s="296">
        <f>SUM(Y926:AL926)</f>
        <v>0</v>
      </c>
    </row>
    <row r="927" spans="1:39" hidden="1" outlineLevel="1">
      <c r="A927" s="527"/>
      <c r="B927" s="294" t="s">
        <v>342</v>
      </c>
      <c r="C927" s="291" t="s">
        <v>163</v>
      </c>
      <c r="D927" s="295"/>
      <c r="E927" s="295"/>
      <c r="F927" s="295"/>
      <c r="G927" s="295"/>
      <c r="H927" s="295"/>
      <c r="I927" s="295"/>
      <c r="J927" s="295"/>
      <c r="K927" s="295"/>
      <c r="L927" s="295"/>
      <c r="M927" s="295"/>
      <c r="N927" s="464"/>
      <c r="O927" s="295"/>
      <c r="P927" s="295"/>
      <c r="Q927" s="295"/>
      <c r="R927" s="295"/>
      <c r="S927" s="295"/>
      <c r="T927" s="295"/>
      <c r="U927" s="295"/>
      <c r="V927" s="295"/>
      <c r="W927" s="295"/>
      <c r="X927" s="295"/>
      <c r="Y927" s="410">
        <f>Y926</f>
        <v>0</v>
      </c>
      <c r="Z927" s="410">
        <f t="shared" ref="Z927" si="2751">Z926</f>
        <v>0</v>
      </c>
      <c r="AA927" s="410">
        <f t="shared" ref="AA927" si="2752">AA926</f>
        <v>0</v>
      </c>
      <c r="AB927" s="410">
        <f t="shared" ref="AB927" si="2753">AB926</f>
        <v>0</v>
      </c>
      <c r="AC927" s="410">
        <f t="shared" ref="AC927" si="2754">AC926</f>
        <v>0</v>
      </c>
      <c r="AD927" s="410">
        <f t="shared" ref="AD927" si="2755">AD926</f>
        <v>0</v>
      </c>
      <c r="AE927" s="410">
        <f t="shared" ref="AE927" si="2756">AE926</f>
        <v>0</v>
      </c>
      <c r="AF927" s="410">
        <f t="shared" ref="AF927" si="2757">AF926</f>
        <v>0</v>
      </c>
      <c r="AG927" s="410">
        <f t="shared" ref="AG927" si="2758">AG926</f>
        <v>0</v>
      </c>
      <c r="AH927" s="410">
        <f t="shared" ref="AH927" si="2759">AH926</f>
        <v>0</v>
      </c>
      <c r="AI927" s="410">
        <f t="shared" ref="AI927" si="2760">AI926</f>
        <v>0</v>
      </c>
      <c r="AJ927" s="410">
        <f t="shared" ref="AJ927" si="2761">AJ926</f>
        <v>0</v>
      </c>
      <c r="AK927" s="410">
        <f t="shared" ref="AK927" si="2762">AK926</f>
        <v>0</v>
      </c>
      <c r="AL927" s="410">
        <f t="shared" ref="AL927" si="2763">AL926</f>
        <v>0</v>
      </c>
      <c r="AM927" s="306"/>
    </row>
    <row r="928" spans="1:39" hidden="1" outlineLevel="1">
      <c r="A928" s="527"/>
      <c r="B928" s="425"/>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1"/>
      <c r="Z928" s="422"/>
      <c r="AA928" s="422"/>
      <c r="AB928" s="422"/>
      <c r="AC928" s="422"/>
      <c r="AD928" s="422"/>
      <c r="AE928" s="422"/>
      <c r="AF928" s="422"/>
      <c r="AG928" s="422"/>
      <c r="AH928" s="422"/>
      <c r="AI928" s="422"/>
      <c r="AJ928" s="422"/>
      <c r="AK928" s="422"/>
      <c r="AL928" s="422"/>
      <c r="AM928" s="306"/>
    </row>
    <row r="929" spans="1:39" ht="30" hidden="1" outlineLevel="1">
      <c r="A929" s="527">
        <v>43</v>
      </c>
      <c r="B929" s="425" t="s">
        <v>135</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3"/>
      <c r="Z929" s="414"/>
      <c r="AA929" s="414"/>
      <c r="AB929" s="414"/>
      <c r="AC929" s="414"/>
      <c r="AD929" s="414"/>
      <c r="AE929" s="414"/>
      <c r="AF929" s="414"/>
      <c r="AG929" s="414"/>
      <c r="AH929" s="414"/>
      <c r="AI929" s="414"/>
      <c r="AJ929" s="414"/>
      <c r="AK929" s="414"/>
      <c r="AL929" s="414"/>
      <c r="AM929" s="296">
        <f>SUM(Y929:AL929)</f>
        <v>0</v>
      </c>
    </row>
    <row r="930" spans="1:39" hidden="1" outlineLevel="1">
      <c r="A930" s="527"/>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0">
        <f>Y929</f>
        <v>0</v>
      </c>
      <c r="Z930" s="410">
        <f t="shared" ref="Z930" si="2764">Z929</f>
        <v>0</v>
      </c>
      <c r="AA930" s="410">
        <f t="shared" ref="AA930" si="2765">AA929</f>
        <v>0</v>
      </c>
      <c r="AB930" s="410">
        <f t="shared" ref="AB930" si="2766">AB929</f>
        <v>0</v>
      </c>
      <c r="AC930" s="410">
        <f t="shared" ref="AC930" si="2767">AC929</f>
        <v>0</v>
      </c>
      <c r="AD930" s="410">
        <f t="shared" ref="AD930" si="2768">AD929</f>
        <v>0</v>
      </c>
      <c r="AE930" s="410">
        <f t="shared" ref="AE930" si="2769">AE929</f>
        <v>0</v>
      </c>
      <c r="AF930" s="410">
        <f t="shared" ref="AF930" si="2770">AF929</f>
        <v>0</v>
      </c>
      <c r="AG930" s="410">
        <f t="shared" ref="AG930" si="2771">AG929</f>
        <v>0</v>
      </c>
      <c r="AH930" s="410">
        <f t="shared" ref="AH930" si="2772">AH929</f>
        <v>0</v>
      </c>
      <c r="AI930" s="410">
        <f t="shared" ref="AI930" si="2773">AI929</f>
        <v>0</v>
      </c>
      <c r="AJ930" s="410">
        <f t="shared" ref="AJ930" si="2774">AJ929</f>
        <v>0</v>
      </c>
      <c r="AK930" s="410">
        <f t="shared" ref="AK930" si="2775">AK929</f>
        <v>0</v>
      </c>
      <c r="AL930" s="410">
        <f t="shared" ref="AL930" si="2776">AL929</f>
        <v>0</v>
      </c>
      <c r="AM930" s="306"/>
    </row>
    <row r="931" spans="1:39" hidden="1" outlineLevel="1">
      <c r="A931" s="527"/>
      <c r="B931" s="425"/>
      <c r="C931" s="291"/>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411"/>
      <c r="Z931" s="422"/>
      <c r="AA931" s="422"/>
      <c r="AB931" s="422"/>
      <c r="AC931" s="422"/>
      <c r="AD931" s="422"/>
      <c r="AE931" s="422"/>
      <c r="AF931" s="422"/>
      <c r="AG931" s="422"/>
      <c r="AH931" s="422"/>
      <c r="AI931" s="422"/>
      <c r="AJ931" s="422"/>
      <c r="AK931" s="422"/>
      <c r="AL931" s="422"/>
      <c r="AM931" s="306"/>
    </row>
    <row r="932" spans="1:39" ht="60" hidden="1" outlineLevel="1">
      <c r="A932" s="527">
        <v>44</v>
      </c>
      <c r="B932" s="425" t="s">
        <v>136</v>
      </c>
      <c r="C932" s="291" t="s">
        <v>25</v>
      </c>
      <c r="D932" s="295"/>
      <c r="E932" s="295"/>
      <c r="F932" s="295"/>
      <c r="G932" s="295"/>
      <c r="H932" s="295"/>
      <c r="I932" s="295"/>
      <c r="J932" s="295"/>
      <c r="K932" s="295"/>
      <c r="L932" s="295"/>
      <c r="M932" s="295"/>
      <c r="N932" s="295">
        <v>12</v>
      </c>
      <c r="O932" s="295"/>
      <c r="P932" s="295"/>
      <c r="Q932" s="295"/>
      <c r="R932" s="295"/>
      <c r="S932" s="295"/>
      <c r="T932" s="295"/>
      <c r="U932" s="295"/>
      <c r="V932" s="295"/>
      <c r="W932" s="295"/>
      <c r="X932" s="295"/>
      <c r="Y932" s="423"/>
      <c r="Z932" s="414"/>
      <c r="AA932" s="414"/>
      <c r="AB932" s="414"/>
      <c r="AC932" s="414"/>
      <c r="AD932" s="414"/>
      <c r="AE932" s="414"/>
      <c r="AF932" s="414"/>
      <c r="AG932" s="414"/>
      <c r="AH932" s="414"/>
      <c r="AI932" s="414"/>
      <c r="AJ932" s="414"/>
      <c r="AK932" s="414"/>
      <c r="AL932" s="414"/>
      <c r="AM932" s="296">
        <f>SUM(Y932:AL932)</f>
        <v>0</v>
      </c>
    </row>
    <row r="933" spans="1:39" hidden="1" outlineLevel="1">
      <c r="A933" s="527"/>
      <c r="B933" s="294" t="s">
        <v>342</v>
      </c>
      <c r="C933" s="291" t="s">
        <v>163</v>
      </c>
      <c r="D933" s="295"/>
      <c r="E933" s="295"/>
      <c r="F933" s="295"/>
      <c r="G933" s="295"/>
      <c r="H933" s="295"/>
      <c r="I933" s="295"/>
      <c r="J933" s="295"/>
      <c r="K933" s="295"/>
      <c r="L933" s="295"/>
      <c r="M933" s="295"/>
      <c r="N933" s="295">
        <f>N932</f>
        <v>12</v>
      </c>
      <c r="O933" s="295"/>
      <c r="P933" s="295"/>
      <c r="Q933" s="295"/>
      <c r="R933" s="295"/>
      <c r="S933" s="295"/>
      <c r="T933" s="295"/>
      <c r="U933" s="295"/>
      <c r="V933" s="295"/>
      <c r="W933" s="295"/>
      <c r="X933" s="295"/>
      <c r="Y933" s="410">
        <f>Y932</f>
        <v>0</v>
      </c>
      <c r="Z933" s="410">
        <f t="shared" ref="Z933" si="2777">Z932</f>
        <v>0</v>
      </c>
      <c r="AA933" s="410">
        <f t="shared" ref="AA933" si="2778">AA932</f>
        <v>0</v>
      </c>
      <c r="AB933" s="410">
        <f t="shared" ref="AB933" si="2779">AB932</f>
        <v>0</v>
      </c>
      <c r="AC933" s="410">
        <f t="shared" ref="AC933" si="2780">AC932</f>
        <v>0</v>
      </c>
      <c r="AD933" s="410">
        <f t="shared" ref="AD933" si="2781">AD932</f>
        <v>0</v>
      </c>
      <c r="AE933" s="410">
        <f t="shared" ref="AE933" si="2782">AE932</f>
        <v>0</v>
      </c>
      <c r="AF933" s="410">
        <f t="shared" ref="AF933" si="2783">AF932</f>
        <v>0</v>
      </c>
      <c r="AG933" s="410">
        <f t="shared" ref="AG933" si="2784">AG932</f>
        <v>0</v>
      </c>
      <c r="AH933" s="410">
        <f t="shared" ref="AH933" si="2785">AH932</f>
        <v>0</v>
      </c>
      <c r="AI933" s="410">
        <f t="shared" ref="AI933" si="2786">AI932</f>
        <v>0</v>
      </c>
      <c r="AJ933" s="410">
        <f t="shared" ref="AJ933" si="2787">AJ932</f>
        <v>0</v>
      </c>
      <c r="AK933" s="410">
        <f t="shared" ref="AK933" si="2788">AK932</f>
        <v>0</v>
      </c>
      <c r="AL933" s="410">
        <f t="shared" ref="AL933" si="2789">AL932</f>
        <v>0</v>
      </c>
      <c r="AM933" s="306"/>
    </row>
    <row r="934" spans="1:39" hidden="1" outlineLevel="1">
      <c r="A934" s="527"/>
      <c r="B934" s="425"/>
      <c r="C934" s="291"/>
      <c r="D934" s="291"/>
      <c r="E934" s="291"/>
      <c r="F934" s="291"/>
      <c r="G934" s="291"/>
      <c r="H934" s="291"/>
      <c r="I934" s="291"/>
      <c r="J934" s="291"/>
      <c r="K934" s="291"/>
      <c r="L934" s="291"/>
      <c r="M934" s="291"/>
      <c r="N934" s="291"/>
      <c r="O934" s="291"/>
      <c r="P934" s="291"/>
      <c r="Q934" s="291"/>
      <c r="R934" s="291"/>
      <c r="S934" s="291"/>
      <c r="T934" s="291"/>
      <c r="U934" s="291"/>
      <c r="V934" s="291"/>
      <c r="W934" s="291"/>
      <c r="X934" s="291"/>
      <c r="Y934" s="411"/>
      <c r="Z934" s="422"/>
      <c r="AA934" s="422"/>
      <c r="AB934" s="422"/>
      <c r="AC934" s="422"/>
      <c r="AD934" s="422"/>
      <c r="AE934" s="422"/>
      <c r="AF934" s="422"/>
      <c r="AG934" s="422"/>
      <c r="AH934" s="422"/>
      <c r="AI934" s="422"/>
      <c r="AJ934" s="422"/>
      <c r="AK934" s="422"/>
      <c r="AL934" s="422"/>
      <c r="AM934" s="306"/>
    </row>
    <row r="935" spans="1:39" ht="45" hidden="1" outlineLevel="1">
      <c r="A935" s="527">
        <v>45</v>
      </c>
      <c r="B935" s="425" t="s">
        <v>137</v>
      </c>
      <c r="C935" s="291" t="s">
        <v>25</v>
      </c>
      <c r="D935" s="295"/>
      <c r="E935" s="295"/>
      <c r="F935" s="295"/>
      <c r="G935" s="295"/>
      <c r="H935" s="295"/>
      <c r="I935" s="295"/>
      <c r="J935" s="295"/>
      <c r="K935" s="295"/>
      <c r="L935" s="295"/>
      <c r="M935" s="295"/>
      <c r="N935" s="295">
        <v>12</v>
      </c>
      <c r="O935" s="295"/>
      <c r="P935" s="295"/>
      <c r="Q935" s="295"/>
      <c r="R935" s="295"/>
      <c r="S935" s="295"/>
      <c r="T935" s="295"/>
      <c r="U935" s="295"/>
      <c r="V935" s="295"/>
      <c r="W935" s="295"/>
      <c r="X935" s="295"/>
      <c r="Y935" s="423"/>
      <c r="Z935" s="414"/>
      <c r="AA935" s="414"/>
      <c r="AB935" s="414"/>
      <c r="AC935" s="414"/>
      <c r="AD935" s="414"/>
      <c r="AE935" s="414"/>
      <c r="AF935" s="414"/>
      <c r="AG935" s="414"/>
      <c r="AH935" s="414"/>
      <c r="AI935" s="414"/>
      <c r="AJ935" s="414"/>
      <c r="AK935" s="414"/>
      <c r="AL935" s="414"/>
      <c r="AM935" s="296">
        <f>SUM(Y935:AL935)</f>
        <v>0</v>
      </c>
    </row>
    <row r="936" spans="1:39" hidden="1" outlineLevel="1">
      <c r="A936" s="527"/>
      <c r="B936" s="294" t="s">
        <v>342</v>
      </c>
      <c r="C936" s="291" t="s">
        <v>163</v>
      </c>
      <c r="D936" s="295"/>
      <c r="E936" s="295"/>
      <c r="F936" s="295"/>
      <c r="G936" s="295"/>
      <c r="H936" s="295"/>
      <c r="I936" s="295"/>
      <c r="J936" s="295"/>
      <c r="K936" s="295"/>
      <c r="L936" s="295"/>
      <c r="M936" s="295"/>
      <c r="N936" s="295">
        <f>N935</f>
        <v>12</v>
      </c>
      <c r="O936" s="295"/>
      <c r="P936" s="295"/>
      <c r="Q936" s="295"/>
      <c r="R936" s="295"/>
      <c r="S936" s="295"/>
      <c r="T936" s="295"/>
      <c r="U936" s="295"/>
      <c r="V936" s="295"/>
      <c r="W936" s="295"/>
      <c r="X936" s="295"/>
      <c r="Y936" s="410">
        <f>Y935</f>
        <v>0</v>
      </c>
      <c r="Z936" s="410">
        <f t="shared" ref="Z936" si="2790">Z935</f>
        <v>0</v>
      </c>
      <c r="AA936" s="410">
        <f t="shared" ref="AA936" si="2791">AA935</f>
        <v>0</v>
      </c>
      <c r="AB936" s="410">
        <f t="shared" ref="AB936" si="2792">AB935</f>
        <v>0</v>
      </c>
      <c r="AC936" s="410">
        <f t="shared" ref="AC936" si="2793">AC935</f>
        <v>0</v>
      </c>
      <c r="AD936" s="410">
        <f t="shared" ref="AD936" si="2794">AD935</f>
        <v>0</v>
      </c>
      <c r="AE936" s="410">
        <f t="shared" ref="AE936" si="2795">AE935</f>
        <v>0</v>
      </c>
      <c r="AF936" s="410">
        <f t="shared" ref="AF936" si="2796">AF935</f>
        <v>0</v>
      </c>
      <c r="AG936" s="410">
        <f t="shared" ref="AG936" si="2797">AG935</f>
        <v>0</v>
      </c>
      <c r="AH936" s="410">
        <f t="shared" ref="AH936" si="2798">AH935</f>
        <v>0</v>
      </c>
      <c r="AI936" s="410">
        <f t="shared" ref="AI936" si="2799">AI935</f>
        <v>0</v>
      </c>
      <c r="AJ936" s="410">
        <f t="shared" ref="AJ936" si="2800">AJ935</f>
        <v>0</v>
      </c>
      <c r="AK936" s="410">
        <f t="shared" ref="AK936" si="2801">AK935</f>
        <v>0</v>
      </c>
      <c r="AL936" s="410">
        <f t="shared" ref="AL936" si="2802">AL935</f>
        <v>0</v>
      </c>
      <c r="AM936" s="306"/>
    </row>
    <row r="937" spans="1:39" hidden="1" outlineLevel="1">
      <c r="A937" s="527"/>
      <c r="B937" s="425"/>
      <c r="C937" s="291"/>
      <c r="D937" s="291"/>
      <c r="E937" s="291"/>
      <c r="F937" s="291"/>
      <c r="G937" s="291"/>
      <c r="H937" s="291"/>
      <c r="I937" s="291"/>
      <c r="J937" s="291"/>
      <c r="K937" s="291"/>
      <c r="L937" s="291"/>
      <c r="M937" s="291"/>
      <c r="N937" s="291"/>
      <c r="O937" s="291"/>
      <c r="P937" s="291"/>
      <c r="Q937" s="291"/>
      <c r="R937" s="291"/>
      <c r="S937" s="291"/>
      <c r="T937" s="291"/>
      <c r="U937" s="291"/>
      <c r="V937" s="291"/>
      <c r="W937" s="291"/>
      <c r="X937" s="291"/>
      <c r="Y937" s="411"/>
      <c r="Z937" s="422"/>
      <c r="AA937" s="422"/>
      <c r="AB937" s="422"/>
      <c r="AC937" s="422"/>
      <c r="AD937" s="422"/>
      <c r="AE937" s="422"/>
      <c r="AF937" s="422"/>
      <c r="AG937" s="422"/>
      <c r="AH937" s="422"/>
      <c r="AI937" s="422"/>
      <c r="AJ937" s="422"/>
      <c r="AK937" s="422"/>
      <c r="AL937" s="422"/>
      <c r="AM937" s="306"/>
    </row>
    <row r="938" spans="1:39" ht="45" hidden="1" outlineLevel="1">
      <c r="A938" s="527">
        <v>46</v>
      </c>
      <c r="B938" s="425" t="s">
        <v>138</v>
      </c>
      <c r="C938" s="291" t="s">
        <v>25</v>
      </c>
      <c r="D938" s="295"/>
      <c r="E938" s="295"/>
      <c r="F938" s="295"/>
      <c r="G938" s="295"/>
      <c r="H938" s="295"/>
      <c r="I938" s="295"/>
      <c r="J938" s="295"/>
      <c r="K938" s="295"/>
      <c r="L938" s="295"/>
      <c r="M938" s="295"/>
      <c r="N938" s="295">
        <v>12</v>
      </c>
      <c r="O938" s="295"/>
      <c r="P938" s="295"/>
      <c r="Q938" s="295"/>
      <c r="R938" s="295"/>
      <c r="S938" s="295"/>
      <c r="T938" s="295"/>
      <c r="U938" s="295"/>
      <c r="V938" s="295"/>
      <c r="W938" s="295"/>
      <c r="X938" s="295"/>
      <c r="Y938" s="423"/>
      <c r="Z938" s="414"/>
      <c r="AA938" s="414"/>
      <c r="AB938" s="414"/>
      <c r="AC938" s="414"/>
      <c r="AD938" s="414"/>
      <c r="AE938" s="414"/>
      <c r="AF938" s="414"/>
      <c r="AG938" s="414"/>
      <c r="AH938" s="414"/>
      <c r="AI938" s="414"/>
      <c r="AJ938" s="414"/>
      <c r="AK938" s="414"/>
      <c r="AL938" s="414"/>
      <c r="AM938" s="296">
        <f>SUM(Y938:AL938)</f>
        <v>0</v>
      </c>
    </row>
    <row r="939" spans="1:39" hidden="1" outlineLevel="1">
      <c r="A939" s="527"/>
      <c r="B939" s="294" t="s">
        <v>342</v>
      </c>
      <c r="C939" s="291" t="s">
        <v>163</v>
      </c>
      <c r="D939" s="295"/>
      <c r="E939" s="295"/>
      <c r="F939" s="295"/>
      <c r="G939" s="295"/>
      <c r="H939" s="295"/>
      <c r="I939" s="295"/>
      <c r="J939" s="295"/>
      <c r="K939" s="295"/>
      <c r="L939" s="295"/>
      <c r="M939" s="295"/>
      <c r="N939" s="295">
        <f>N938</f>
        <v>12</v>
      </c>
      <c r="O939" s="295"/>
      <c r="P939" s="295"/>
      <c r="Q939" s="295"/>
      <c r="R939" s="295"/>
      <c r="S939" s="295"/>
      <c r="T939" s="295"/>
      <c r="U939" s="295"/>
      <c r="V939" s="295"/>
      <c r="W939" s="295"/>
      <c r="X939" s="295"/>
      <c r="Y939" s="410">
        <f>Y938</f>
        <v>0</v>
      </c>
      <c r="Z939" s="410">
        <f t="shared" ref="Z939" si="2803">Z938</f>
        <v>0</v>
      </c>
      <c r="AA939" s="410">
        <f t="shared" ref="AA939" si="2804">AA938</f>
        <v>0</v>
      </c>
      <c r="AB939" s="410">
        <f t="shared" ref="AB939" si="2805">AB938</f>
        <v>0</v>
      </c>
      <c r="AC939" s="410">
        <f t="shared" ref="AC939" si="2806">AC938</f>
        <v>0</v>
      </c>
      <c r="AD939" s="410">
        <f t="shared" ref="AD939" si="2807">AD938</f>
        <v>0</v>
      </c>
      <c r="AE939" s="410">
        <f t="shared" ref="AE939" si="2808">AE938</f>
        <v>0</v>
      </c>
      <c r="AF939" s="410">
        <f t="shared" ref="AF939" si="2809">AF938</f>
        <v>0</v>
      </c>
      <c r="AG939" s="410">
        <f t="shared" ref="AG939" si="2810">AG938</f>
        <v>0</v>
      </c>
      <c r="AH939" s="410">
        <f t="shared" ref="AH939" si="2811">AH938</f>
        <v>0</v>
      </c>
      <c r="AI939" s="410">
        <f t="shared" ref="AI939" si="2812">AI938</f>
        <v>0</v>
      </c>
      <c r="AJ939" s="410">
        <f t="shared" ref="AJ939" si="2813">AJ938</f>
        <v>0</v>
      </c>
      <c r="AK939" s="410">
        <f t="shared" ref="AK939" si="2814">AK938</f>
        <v>0</v>
      </c>
      <c r="AL939" s="410">
        <f t="shared" ref="AL939" si="2815">AL938</f>
        <v>0</v>
      </c>
      <c r="AM939" s="306"/>
    </row>
    <row r="940" spans="1:39" hidden="1" outlineLevel="1">
      <c r="A940" s="527"/>
      <c r="B940" s="425"/>
      <c r="C940" s="291"/>
      <c r="D940" s="291"/>
      <c r="E940" s="291"/>
      <c r="F940" s="291"/>
      <c r="G940" s="291"/>
      <c r="H940" s="291"/>
      <c r="I940" s="291"/>
      <c r="J940" s="291"/>
      <c r="K940" s="291"/>
      <c r="L940" s="291"/>
      <c r="M940" s="291"/>
      <c r="N940" s="291"/>
      <c r="O940" s="291"/>
      <c r="P940" s="291"/>
      <c r="Q940" s="291"/>
      <c r="R940" s="291"/>
      <c r="S940" s="291"/>
      <c r="T940" s="291"/>
      <c r="U940" s="291"/>
      <c r="V940" s="291"/>
      <c r="W940" s="291"/>
      <c r="X940" s="291"/>
      <c r="Y940" s="411"/>
      <c r="Z940" s="422"/>
      <c r="AA940" s="422"/>
      <c r="AB940" s="422"/>
      <c r="AC940" s="422"/>
      <c r="AD940" s="422"/>
      <c r="AE940" s="422"/>
      <c r="AF940" s="422"/>
      <c r="AG940" s="422"/>
      <c r="AH940" s="422"/>
      <c r="AI940" s="422"/>
      <c r="AJ940" s="422"/>
      <c r="AK940" s="422"/>
      <c r="AL940" s="422"/>
      <c r="AM940" s="306"/>
    </row>
    <row r="941" spans="1:39" ht="45" hidden="1" outlineLevel="1">
      <c r="A941" s="527">
        <v>47</v>
      </c>
      <c r="B941" s="425" t="s">
        <v>139</v>
      </c>
      <c r="C941" s="291" t="s">
        <v>25</v>
      </c>
      <c r="D941" s="295"/>
      <c r="E941" s="295"/>
      <c r="F941" s="295"/>
      <c r="G941" s="295"/>
      <c r="H941" s="295"/>
      <c r="I941" s="295"/>
      <c r="J941" s="295"/>
      <c r="K941" s="295"/>
      <c r="L941" s="295"/>
      <c r="M941" s="295"/>
      <c r="N941" s="295">
        <v>12</v>
      </c>
      <c r="O941" s="295"/>
      <c r="P941" s="295"/>
      <c r="Q941" s="295"/>
      <c r="R941" s="295"/>
      <c r="S941" s="295"/>
      <c r="T941" s="295"/>
      <c r="U941" s="295"/>
      <c r="V941" s="295"/>
      <c r="W941" s="295"/>
      <c r="X941" s="295"/>
      <c r="Y941" s="423"/>
      <c r="Z941" s="414"/>
      <c r="AA941" s="414"/>
      <c r="AB941" s="414"/>
      <c r="AC941" s="414"/>
      <c r="AD941" s="414"/>
      <c r="AE941" s="414"/>
      <c r="AF941" s="414"/>
      <c r="AG941" s="414"/>
      <c r="AH941" s="414"/>
      <c r="AI941" s="414"/>
      <c r="AJ941" s="414"/>
      <c r="AK941" s="414"/>
      <c r="AL941" s="414"/>
      <c r="AM941" s="296">
        <f>SUM(Y941:AL941)</f>
        <v>0</v>
      </c>
    </row>
    <row r="942" spans="1:39" hidden="1" outlineLevel="1">
      <c r="A942" s="527"/>
      <c r="B942" s="294" t="s">
        <v>342</v>
      </c>
      <c r="C942" s="291" t="s">
        <v>163</v>
      </c>
      <c r="D942" s="295"/>
      <c r="E942" s="295"/>
      <c r="F942" s="295"/>
      <c r="G942" s="295"/>
      <c r="H942" s="295"/>
      <c r="I942" s="295"/>
      <c r="J942" s="295"/>
      <c r="K942" s="295"/>
      <c r="L942" s="295"/>
      <c r="M942" s="295"/>
      <c r="N942" s="295">
        <f>N941</f>
        <v>12</v>
      </c>
      <c r="O942" s="295"/>
      <c r="P942" s="295"/>
      <c r="Q942" s="295"/>
      <c r="R942" s="295"/>
      <c r="S942" s="295"/>
      <c r="T942" s="295"/>
      <c r="U942" s="295"/>
      <c r="V942" s="295"/>
      <c r="W942" s="295"/>
      <c r="X942" s="295"/>
      <c r="Y942" s="410">
        <f>Y941</f>
        <v>0</v>
      </c>
      <c r="Z942" s="410">
        <f t="shared" ref="Z942" si="2816">Z941</f>
        <v>0</v>
      </c>
      <c r="AA942" s="410">
        <f t="shared" ref="AA942" si="2817">AA941</f>
        <v>0</v>
      </c>
      <c r="AB942" s="410">
        <f t="shared" ref="AB942" si="2818">AB941</f>
        <v>0</v>
      </c>
      <c r="AC942" s="410">
        <f t="shared" ref="AC942" si="2819">AC941</f>
        <v>0</v>
      </c>
      <c r="AD942" s="410">
        <f t="shared" ref="AD942" si="2820">AD941</f>
        <v>0</v>
      </c>
      <c r="AE942" s="410">
        <f t="shared" ref="AE942" si="2821">AE941</f>
        <v>0</v>
      </c>
      <c r="AF942" s="410">
        <f t="shared" ref="AF942" si="2822">AF941</f>
        <v>0</v>
      </c>
      <c r="AG942" s="410">
        <f t="shared" ref="AG942" si="2823">AG941</f>
        <v>0</v>
      </c>
      <c r="AH942" s="410">
        <f t="shared" ref="AH942" si="2824">AH941</f>
        <v>0</v>
      </c>
      <c r="AI942" s="410">
        <f t="shared" ref="AI942" si="2825">AI941</f>
        <v>0</v>
      </c>
      <c r="AJ942" s="410">
        <f t="shared" ref="AJ942" si="2826">AJ941</f>
        <v>0</v>
      </c>
      <c r="AK942" s="410">
        <f t="shared" ref="AK942" si="2827">AK941</f>
        <v>0</v>
      </c>
      <c r="AL942" s="410">
        <f t="shared" ref="AL942" si="2828">AL941</f>
        <v>0</v>
      </c>
      <c r="AM942" s="306"/>
    </row>
    <row r="943" spans="1:39" hidden="1" outlineLevel="1">
      <c r="A943" s="527"/>
      <c r="B943" s="425"/>
      <c r="C943" s="291"/>
      <c r="D943" s="291"/>
      <c r="E943" s="291"/>
      <c r="F943" s="291"/>
      <c r="G943" s="291"/>
      <c r="H943" s="291"/>
      <c r="I943" s="291"/>
      <c r="J943" s="291"/>
      <c r="K943" s="291"/>
      <c r="L943" s="291"/>
      <c r="M943" s="291"/>
      <c r="N943" s="291"/>
      <c r="O943" s="291"/>
      <c r="P943" s="291"/>
      <c r="Q943" s="291"/>
      <c r="R943" s="291"/>
      <c r="S943" s="291"/>
      <c r="T943" s="291"/>
      <c r="U943" s="291"/>
      <c r="V943" s="291"/>
      <c r="W943" s="291"/>
      <c r="X943" s="291"/>
      <c r="Y943" s="411"/>
      <c r="Z943" s="422"/>
      <c r="AA943" s="422"/>
      <c r="AB943" s="422"/>
      <c r="AC943" s="422"/>
      <c r="AD943" s="422"/>
      <c r="AE943" s="422"/>
      <c r="AF943" s="422"/>
      <c r="AG943" s="422"/>
      <c r="AH943" s="422"/>
      <c r="AI943" s="422"/>
      <c r="AJ943" s="422"/>
      <c r="AK943" s="422"/>
      <c r="AL943" s="422"/>
      <c r="AM943" s="306"/>
    </row>
    <row r="944" spans="1:39" ht="45" hidden="1" outlineLevel="1">
      <c r="A944" s="527">
        <v>48</v>
      </c>
      <c r="B944" s="425" t="s">
        <v>140</v>
      </c>
      <c r="C944" s="291" t="s">
        <v>25</v>
      </c>
      <c r="D944" s="295"/>
      <c r="E944" s="295"/>
      <c r="F944" s="295"/>
      <c r="G944" s="295"/>
      <c r="H944" s="295"/>
      <c r="I944" s="295"/>
      <c r="J944" s="295"/>
      <c r="K944" s="295"/>
      <c r="L944" s="295"/>
      <c r="M944" s="295"/>
      <c r="N944" s="295">
        <v>12</v>
      </c>
      <c r="O944" s="295"/>
      <c r="P944" s="295"/>
      <c r="Q944" s="295"/>
      <c r="R944" s="295"/>
      <c r="S944" s="295"/>
      <c r="T944" s="295"/>
      <c r="U944" s="295"/>
      <c r="V944" s="295"/>
      <c r="W944" s="295"/>
      <c r="X944" s="295"/>
      <c r="Y944" s="423"/>
      <c r="Z944" s="414"/>
      <c r="AA944" s="414"/>
      <c r="AB944" s="414"/>
      <c r="AC944" s="414"/>
      <c r="AD944" s="414"/>
      <c r="AE944" s="414"/>
      <c r="AF944" s="414"/>
      <c r="AG944" s="414"/>
      <c r="AH944" s="414"/>
      <c r="AI944" s="414"/>
      <c r="AJ944" s="414"/>
      <c r="AK944" s="414"/>
      <c r="AL944" s="414"/>
      <c r="AM944" s="296">
        <f>SUM(Y944:AL944)</f>
        <v>0</v>
      </c>
    </row>
    <row r="945" spans="1:39" hidden="1" outlineLevel="1">
      <c r="A945" s="527"/>
      <c r="B945" s="294" t="s">
        <v>342</v>
      </c>
      <c r="C945" s="291" t="s">
        <v>163</v>
      </c>
      <c r="D945" s="295"/>
      <c r="E945" s="295"/>
      <c r="F945" s="295"/>
      <c r="G945" s="295"/>
      <c r="H945" s="295"/>
      <c r="I945" s="295"/>
      <c r="J945" s="295"/>
      <c r="K945" s="295"/>
      <c r="L945" s="295"/>
      <c r="M945" s="295"/>
      <c r="N945" s="295">
        <f>N944</f>
        <v>12</v>
      </c>
      <c r="O945" s="295"/>
      <c r="P945" s="295"/>
      <c r="Q945" s="295"/>
      <c r="R945" s="295"/>
      <c r="S945" s="295"/>
      <c r="T945" s="295"/>
      <c r="U945" s="295"/>
      <c r="V945" s="295"/>
      <c r="W945" s="295"/>
      <c r="X945" s="295"/>
      <c r="Y945" s="410">
        <f>Y944</f>
        <v>0</v>
      </c>
      <c r="Z945" s="410">
        <f t="shared" ref="Z945" si="2829">Z944</f>
        <v>0</v>
      </c>
      <c r="AA945" s="410">
        <f t="shared" ref="AA945" si="2830">AA944</f>
        <v>0</v>
      </c>
      <c r="AB945" s="410">
        <f t="shared" ref="AB945" si="2831">AB944</f>
        <v>0</v>
      </c>
      <c r="AC945" s="410">
        <f t="shared" ref="AC945" si="2832">AC944</f>
        <v>0</v>
      </c>
      <c r="AD945" s="410">
        <f t="shared" ref="AD945" si="2833">AD944</f>
        <v>0</v>
      </c>
      <c r="AE945" s="410">
        <f t="shared" ref="AE945" si="2834">AE944</f>
        <v>0</v>
      </c>
      <c r="AF945" s="410">
        <f t="shared" ref="AF945" si="2835">AF944</f>
        <v>0</v>
      </c>
      <c r="AG945" s="410">
        <f t="shared" ref="AG945" si="2836">AG944</f>
        <v>0</v>
      </c>
      <c r="AH945" s="410">
        <f t="shared" ref="AH945" si="2837">AH944</f>
        <v>0</v>
      </c>
      <c r="AI945" s="410">
        <f t="shared" ref="AI945" si="2838">AI944</f>
        <v>0</v>
      </c>
      <c r="AJ945" s="410">
        <f t="shared" ref="AJ945" si="2839">AJ944</f>
        <v>0</v>
      </c>
      <c r="AK945" s="410">
        <f t="shared" ref="AK945" si="2840">AK944</f>
        <v>0</v>
      </c>
      <c r="AL945" s="410">
        <f t="shared" ref="AL945" si="2841">AL944</f>
        <v>0</v>
      </c>
      <c r="AM945" s="306"/>
    </row>
    <row r="946" spans="1:39" hidden="1" outlineLevel="1">
      <c r="A946" s="527"/>
      <c r="B946" s="425"/>
      <c r="C946" s="291"/>
      <c r="D946" s="291"/>
      <c r="E946" s="291"/>
      <c r="F946" s="291"/>
      <c r="G946" s="291"/>
      <c r="H946" s="291"/>
      <c r="I946" s="291"/>
      <c r="J946" s="291"/>
      <c r="K946" s="291"/>
      <c r="L946" s="291"/>
      <c r="M946" s="291"/>
      <c r="N946" s="291"/>
      <c r="O946" s="291"/>
      <c r="P946" s="291"/>
      <c r="Q946" s="291"/>
      <c r="R946" s="291"/>
      <c r="S946" s="291"/>
      <c r="T946" s="291"/>
      <c r="U946" s="291"/>
      <c r="V946" s="291"/>
      <c r="W946" s="291"/>
      <c r="X946" s="291"/>
      <c r="Y946" s="411"/>
      <c r="Z946" s="422"/>
      <c r="AA946" s="422"/>
      <c r="AB946" s="422"/>
      <c r="AC946" s="422"/>
      <c r="AD946" s="422"/>
      <c r="AE946" s="422"/>
      <c r="AF946" s="422"/>
      <c r="AG946" s="422"/>
      <c r="AH946" s="422"/>
      <c r="AI946" s="422"/>
      <c r="AJ946" s="422"/>
      <c r="AK946" s="422"/>
      <c r="AL946" s="422"/>
      <c r="AM946" s="306"/>
    </row>
    <row r="947" spans="1:39" ht="45" hidden="1" outlineLevel="1">
      <c r="A947" s="527">
        <v>49</v>
      </c>
      <c r="B947" s="425" t="s">
        <v>141</v>
      </c>
      <c r="C947" s="291" t="s">
        <v>25</v>
      </c>
      <c r="D947" s="295"/>
      <c r="E947" s="295"/>
      <c r="F947" s="295"/>
      <c r="G947" s="295"/>
      <c r="H947" s="295"/>
      <c r="I947" s="295"/>
      <c r="J947" s="295"/>
      <c r="K947" s="295"/>
      <c r="L947" s="295"/>
      <c r="M947" s="295"/>
      <c r="N947" s="295">
        <v>12</v>
      </c>
      <c r="O947" s="295"/>
      <c r="P947" s="295"/>
      <c r="Q947" s="295"/>
      <c r="R947" s="295"/>
      <c r="S947" s="295"/>
      <c r="T947" s="295"/>
      <c r="U947" s="295"/>
      <c r="V947" s="295"/>
      <c r="W947" s="295"/>
      <c r="X947" s="295"/>
      <c r="Y947" s="423"/>
      <c r="Z947" s="414"/>
      <c r="AA947" s="414"/>
      <c r="AB947" s="414"/>
      <c r="AC947" s="414"/>
      <c r="AD947" s="414"/>
      <c r="AE947" s="414"/>
      <c r="AF947" s="414"/>
      <c r="AG947" s="414"/>
      <c r="AH947" s="414"/>
      <c r="AI947" s="414"/>
      <c r="AJ947" s="414"/>
      <c r="AK947" s="414"/>
      <c r="AL947" s="414"/>
      <c r="AM947" s="296">
        <f>SUM(Y947:AL947)</f>
        <v>0</v>
      </c>
    </row>
    <row r="948" spans="1:39" hidden="1" outlineLevel="1">
      <c r="A948" s="527"/>
      <c r="B948" s="294" t="s">
        <v>342</v>
      </c>
      <c r="C948" s="291" t="s">
        <v>163</v>
      </c>
      <c r="D948" s="295"/>
      <c r="E948" s="295"/>
      <c r="F948" s="295"/>
      <c r="G948" s="295"/>
      <c r="H948" s="295"/>
      <c r="I948" s="295"/>
      <c r="J948" s="295"/>
      <c r="K948" s="295"/>
      <c r="L948" s="295"/>
      <c r="M948" s="295"/>
      <c r="N948" s="295">
        <f>N947</f>
        <v>12</v>
      </c>
      <c r="O948" s="295"/>
      <c r="P948" s="295"/>
      <c r="Q948" s="295"/>
      <c r="R948" s="295"/>
      <c r="S948" s="295"/>
      <c r="T948" s="295"/>
      <c r="U948" s="295"/>
      <c r="V948" s="295"/>
      <c r="W948" s="295"/>
      <c r="X948" s="295"/>
      <c r="Y948" s="410">
        <f>Y947</f>
        <v>0</v>
      </c>
      <c r="Z948" s="410">
        <f t="shared" ref="Z948" si="2842">Z947</f>
        <v>0</v>
      </c>
      <c r="AA948" s="410">
        <f t="shared" ref="AA948" si="2843">AA947</f>
        <v>0</v>
      </c>
      <c r="AB948" s="410">
        <f t="shared" ref="AB948" si="2844">AB947</f>
        <v>0</v>
      </c>
      <c r="AC948" s="410">
        <f t="shared" ref="AC948" si="2845">AC947</f>
        <v>0</v>
      </c>
      <c r="AD948" s="410">
        <f t="shared" ref="AD948" si="2846">AD947</f>
        <v>0</v>
      </c>
      <c r="AE948" s="410">
        <f t="shared" ref="AE948" si="2847">AE947</f>
        <v>0</v>
      </c>
      <c r="AF948" s="410">
        <f t="shared" ref="AF948" si="2848">AF947</f>
        <v>0</v>
      </c>
      <c r="AG948" s="410">
        <f t="shared" ref="AG948" si="2849">AG947</f>
        <v>0</v>
      </c>
      <c r="AH948" s="410">
        <f t="shared" ref="AH948" si="2850">AH947</f>
        <v>0</v>
      </c>
      <c r="AI948" s="410">
        <f t="shared" ref="AI948" si="2851">AI947</f>
        <v>0</v>
      </c>
      <c r="AJ948" s="410">
        <f t="shared" ref="AJ948" si="2852">AJ947</f>
        <v>0</v>
      </c>
      <c r="AK948" s="410">
        <f t="shared" ref="AK948" si="2853">AK947</f>
        <v>0</v>
      </c>
      <c r="AL948" s="410">
        <f t="shared" ref="AL948" si="2854">AL947</f>
        <v>0</v>
      </c>
      <c r="AM948" s="306"/>
    </row>
    <row r="949" spans="1:39" hidden="1" outlineLevel="1">
      <c r="A949" s="527"/>
      <c r="B949" s="294"/>
      <c r="C949" s="305"/>
      <c r="D949" s="291"/>
      <c r="E949" s="291"/>
      <c r="F949" s="291"/>
      <c r="G949" s="291"/>
      <c r="H949" s="291"/>
      <c r="I949" s="291"/>
      <c r="J949" s="291"/>
      <c r="K949" s="291"/>
      <c r="L949" s="291"/>
      <c r="M949" s="291"/>
      <c r="N949" s="291"/>
      <c r="O949" s="291"/>
      <c r="P949" s="291"/>
      <c r="Q949" s="291"/>
      <c r="R949" s="291"/>
      <c r="S949" s="291"/>
      <c r="T949" s="291"/>
      <c r="U949" s="291"/>
      <c r="V949" s="291"/>
      <c r="W949" s="291"/>
      <c r="X949" s="291"/>
      <c r="Y949" s="301"/>
      <c r="Z949" s="301"/>
      <c r="AA949" s="301"/>
      <c r="AB949" s="301"/>
      <c r="AC949" s="301"/>
      <c r="AD949" s="301"/>
      <c r="AE949" s="301"/>
      <c r="AF949" s="301"/>
      <c r="AG949" s="301"/>
      <c r="AH949" s="301"/>
      <c r="AI949" s="301"/>
      <c r="AJ949" s="301"/>
      <c r="AK949" s="301"/>
      <c r="AL949" s="301"/>
      <c r="AM949" s="306"/>
    </row>
    <row r="950" spans="1:39" ht="15.75" collapsed="1">
      <c r="B950" s="326" t="s">
        <v>328</v>
      </c>
      <c r="C950" s="328"/>
      <c r="D950" s="328">
        <f>SUM(D793:D948)</f>
        <v>0</v>
      </c>
      <c r="E950" s="328"/>
      <c r="F950" s="328"/>
      <c r="G950" s="328"/>
      <c r="H950" s="328"/>
      <c r="I950" s="328"/>
      <c r="J950" s="328"/>
      <c r="K950" s="328"/>
      <c r="L950" s="328"/>
      <c r="M950" s="328"/>
      <c r="N950" s="328"/>
      <c r="O950" s="328">
        <f>SUM(O793:O948)</f>
        <v>0</v>
      </c>
      <c r="P950" s="328"/>
      <c r="Q950" s="328"/>
      <c r="R950" s="328"/>
      <c r="S950" s="328"/>
      <c r="T950" s="328"/>
      <c r="U950" s="328"/>
      <c r="V950" s="328"/>
      <c r="W950" s="328"/>
      <c r="X950" s="328"/>
      <c r="Y950" s="328">
        <f>IF(Y791="kWh",SUMPRODUCT(D793:D948,Y793:Y948))</f>
        <v>0</v>
      </c>
      <c r="Z950" s="328">
        <f>IF(Z791="kWh",SUMPRODUCT(D793:D948,Z793:Z948))</f>
        <v>0</v>
      </c>
      <c r="AA950" s="328">
        <f>IF(AA791="kw",SUMPRODUCT(N793:N948,O793:O948,AA793:AA948),SUMPRODUCT(D793:D948,AA793:AA948))</f>
        <v>0</v>
      </c>
      <c r="AB950" s="328">
        <f>IF(AB791="kw",SUMPRODUCT(N793:N948,O793:O948,AB793:AB948),SUMPRODUCT(D793:D948,AB793:AB948))</f>
        <v>0</v>
      </c>
      <c r="AC950" s="328">
        <f>IF(AC791="kw",SUMPRODUCT(N793:N948,O793:O948,AC793:AC948),SUMPRODUCT(D793:D948,AC793:AC948))</f>
        <v>0</v>
      </c>
      <c r="AD950" s="328">
        <f>IF(AD791="kw",SUMPRODUCT(N793:N948,O793:O948,AD793:AD948),SUMPRODUCT(D793:D948,AD793:AD948))</f>
        <v>0</v>
      </c>
      <c r="AE950" s="328">
        <f>IF(AE791="kw",SUMPRODUCT(N793:N948,O793:O948,AE793:AE948),SUMPRODUCT(D793:D948,AE793:AE948))</f>
        <v>0</v>
      </c>
      <c r="AF950" s="328">
        <f>IF(AF791="kw",SUMPRODUCT(N793:N948,O793:O948,AF793:AF948),SUMPRODUCT(D793:D948,AF793:AF948))</f>
        <v>0</v>
      </c>
      <c r="AG950" s="328">
        <f>IF(AG791="kw",SUMPRODUCT(N793:N948,O793:O948,AG793:AG948),SUMPRODUCT(D793:D948,AG793:AG948))</f>
        <v>0</v>
      </c>
      <c r="AH950" s="328">
        <f>IF(AH791="kw",SUMPRODUCT(N793:N948,O793:O948,AH793:AH948),SUMPRODUCT(D793:D948,AH793:AH948))</f>
        <v>0</v>
      </c>
      <c r="AI950" s="328">
        <f>IF(AI791="kw",SUMPRODUCT(N793:N948,O793:O948,AI793:AI948),SUMPRODUCT(D793:D948,AI793:AI948))</f>
        <v>0</v>
      </c>
      <c r="AJ950" s="328">
        <f>IF(AJ791="kw",SUMPRODUCT(N793:N948,O793:O948,AJ793:AJ948),SUMPRODUCT(D793:D948,AJ793:AJ948))</f>
        <v>0</v>
      </c>
      <c r="AK950" s="328">
        <f>IF(AK791="kw",SUMPRODUCT(N793:N948,O793:O948,AK793:AK948),SUMPRODUCT(D793:D948,AK793:AK948))</f>
        <v>0</v>
      </c>
      <c r="AL950" s="328">
        <f>IF(AL791="kw",SUMPRODUCT(N793:N948,O793:O948,AL793:AL948),SUMPRODUCT(D793:D948,AL793:AL948))</f>
        <v>0</v>
      </c>
      <c r="AM950" s="329"/>
    </row>
    <row r="951" spans="1:39" ht="15.75">
      <c r="B951" s="390" t="s">
        <v>329</v>
      </c>
      <c r="C951" s="391"/>
      <c r="D951" s="391"/>
      <c r="E951" s="391"/>
      <c r="F951" s="391"/>
      <c r="G951" s="391"/>
      <c r="H951" s="391"/>
      <c r="I951" s="391"/>
      <c r="J951" s="391"/>
      <c r="K951" s="391"/>
      <c r="L951" s="391"/>
      <c r="M951" s="391"/>
      <c r="N951" s="391"/>
      <c r="O951" s="391"/>
      <c r="P951" s="391"/>
      <c r="Q951" s="391"/>
      <c r="R951" s="391"/>
      <c r="S951" s="391"/>
      <c r="T951" s="391"/>
      <c r="U951" s="391"/>
      <c r="V951" s="391"/>
      <c r="W951" s="391"/>
      <c r="X951" s="391"/>
      <c r="Y951" s="391">
        <f>HLOOKUP(Y601,'2. LRAMVA Threshold'!$B$42:$Q$53,11,FALSE)</f>
        <v>0</v>
      </c>
      <c r="Z951" s="391">
        <f>HLOOKUP(Z601,'2. LRAMVA Threshold'!$B$42:$Q$53,11,FALSE)</f>
        <v>0</v>
      </c>
      <c r="AA951" s="391">
        <f>HLOOKUP(AA601,'2. LRAMVA Threshold'!$B$42:$Q$53,11,FALSE)</f>
        <v>0</v>
      </c>
      <c r="AB951" s="391">
        <f>HLOOKUP(AB601,'2. LRAMVA Threshold'!$B$42:$Q$53,11,FALSE)</f>
        <v>0</v>
      </c>
      <c r="AC951" s="391">
        <f>HLOOKUP(AC601,'2. LRAMVA Threshold'!$B$42:$Q$53,11,FALSE)</f>
        <v>0</v>
      </c>
      <c r="AD951" s="391">
        <f>HLOOKUP(AD601,'2. LRAMVA Threshold'!$B$42:$Q$53,11,FALSE)</f>
        <v>0</v>
      </c>
      <c r="AE951" s="391">
        <f>HLOOKUP(AE601,'2. LRAMVA Threshold'!$B$42:$Q$53,11,FALSE)</f>
        <v>0</v>
      </c>
      <c r="AF951" s="391">
        <f>HLOOKUP(AF601,'2. LRAMVA Threshold'!$B$42:$Q$53,11,FALSE)</f>
        <v>0</v>
      </c>
      <c r="AG951" s="391">
        <f>HLOOKUP(AG601,'2. LRAMVA Threshold'!$B$42:$Q$53,11,FALSE)</f>
        <v>0</v>
      </c>
      <c r="AH951" s="391">
        <f>HLOOKUP(AH601,'2. LRAMVA Threshold'!$B$42:$Q$53,11,FALSE)</f>
        <v>0</v>
      </c>
      <c r="AI951" s="391">
        <f>HLOOKUP(AI601,'2. LRAMVA Threshold'!$B$42:$Q$53,11,FALSE)</f>
        <v>0</v>
      </c>
      <c r="AJ951" s="391">
        <f>HLOOKUP(AJ601,'2. LRAMVA Threshold'!$B$42:$Q$53,11,FALSE)</f>
        <v>0</v>
      </c>
      <c r="AK951" s="391">
        <f>HLOOKUP(AK601,'2. LRAMVA Threshold'!$B$42:$Q$53,11,FALSE)</f>
        <v>0</v>
      </c>
      <c r="AL951" s="391">
        <f>HLOOKUP(AL601,'2. LRAMVA Threshold'!$B$42:$Q$53,11,FALSE)</f>
        <v>0</v>
      </c>
      <c r="AM951" s="439"/>
    </row>
    <row r="952" spans="1:39">
      <c r="B952" s="393"/>
      <c r="C952" s="429"/>
      <c r="D952" s="430"/>
      <c r="E952" s="430"/>
      <c r="F952" s="430"/>
      <c r="G952" s="430"/>
      <c r="H952" s="430"/>
      <c r="I952" s="430"/>
      <c r="J952" s="430"/>
      <c r="K952" s="430"/>
      <c r="L952" s="430"/>
      <c r="M952" s="430"/>
      <c r="N952" s="430"/>
      <c r="O952" s="431"/>
      <c r="P952" s="430"/>
      <c r="Q952" s="430"/>
      <c r="R952" s="430"/>
      <c r="S952" s="432"/>
      <c r="T952" s="432"/>
      <c r="U952" s="432"/>
      <c r="V952" s="432"/>
      <c r="W952" s="430"/>
      <c r="X952" s="430"/>
      <c r="Y952" s="433"/>
      <c r="Z952" s="433"/>
      <c r="AA952" s="433"/>
      <c r="AB952" s="433"/>
      <c r="AC952" s="433"/>
      <c r="AD952" s="433"/>
      <c r="AE952" s="433"/>
      <c r="AF952" s="398"/>
      <c r="AG952" s="398"/>
      <c r="AH952" s="398"/>
      <c r="AI952" s="398"/>
      <c r="AJ952" s="398"/>
      <c r="AK952" s="398"/>
      <c r="AL952" s="398"/>
      <c r="AM952" s="399"/>
    </row>
    <row r="953" spans="1:39">
      <c r="B953" s="323" t="s">
        <v>330</v>
      </c>
      <c r="C953" s="337"/>
      <c r="D953" s="337"/>
      <c r="E953" s="375"/>
      <c r="F953" s="375"/>
      <c r="G953" s="375"/>
      <c r="H953" s="375"/>
      <c r="I953" s="375"/>
      <c r="J953" s="375"/>
      <c r="K953" s="375"/>
      <c r="L953" s="375"/>
      <c r="M953" s="375"/>
      <c r="N953" s="375"/>
      <c r="O953" s="291"/>
      <c r="P953" s="339"/>
      <c r="Q953" s="339"/>
      <c r="R953" s="339"/>
      <c r="S953" s="338"/>
      <c r="T953" s="338"/>
      <c r="U953" s="338"/>
      <c r="V953" s="338"/>
      <c r="W953" s="339"/>
      <c r="X953" s="339"/>
      <c r="Y953" s="340">
        <f>HLOOKUP(Y$35,'3.  Distribution Rates'!$C$122:$P$133,11,FALSE)</f>
        <v>0</v>
      </c>
      <c r="Z953" s="340">
        <f>HLOOKUP(Z$35,'3.  Distribution Rates'!$C$122:$P$133,11,FALSE)</f>
        <v>0</v>
      </c>
      <c r="AA953" s="340">
        <f>HLOOKUP(AA$35,'3.  Distribution Rates'!$C$122:$P$133,11,FALSE)</f>
        <v>0</v>
      </c>
      <c r="AB953" s="340">
        <f>HLOOKUP(AB$35,'3.  Distribution Rates'!$C$122:$P$133,11,FALSE)</f>
        <v>0</v>
      </c>
      <c r="AC953" s="340">
        <f>HLOOKUP(AC$35,'3.  Distribution Rates'!$C$122:$P$133,11,FALSE)</f>
        <v>0</v>
      </c>
      <c r="AD953" s="340">
        <f>HLOOKUP(AD$35,'3.  Distribution Rates'!$C$122:$P$133,11,FALSE)</f>
        <v>0</v>
      </c>
      <c r="AE953" s="340">
        <f>HLOOKUP(AE$35,'3.  Distribution Rates'!$C$122:$P$133,11,FALSE)</f>
        <v>0</v>
      </c>
      <c r="AF953" s="340">
        <f>HLOOKUP(AF$35,'3.  Distribution Rates'!$C$122:$P$133,11,FALSE)</f>
        <v>0</v>
      </c>
      <c r="AG953" s="340">
        <f>HLOOKUP(AG$35,'3.  Distribution Rates'!$C$122:$P$133,11,FALSE)</f>
        <v>0</v>
      </c>
      <c r="AH953" s="340">
        <f>HLOOKUP(AH$35,'3.  Distribution Rates'!$C$122:$P$133,11,FALSE)</f>
        <v>0</v>
      </c>
      <c r="AI953" s="340">
        <f>HLOOKUP(AI$35,'3.  Distribution Rates'!$C$122:$P$133,11,FALSE)</f>
        <v>0</v>
      </c>
      <c r="AJ953" s="340">
        <f>HLOOKUP(AJ$35,'3.  Distribution Rates'!$C$122:$P$133,11,FALSE)</f>
        <v>0</v>
      </c>
      <c r="AK953" s="340">
        <f>HLOOKUP(AK$35,'3.  Distribution Rates'!$C$122:$P$133,11,FALSE)</f>
        <v>0</v>
      </c>
      <c r="AL953" s="340">
        <f>HLOOKUP(AL$35,'3.  Distribution Rates'!$C$122:$P$133,11,FALSE)</f>
        <v>0</v>
      </c>
      <c r="AM953" s="376"/>
    </row>
    <row r="954" spans="1:39">
      <c r="B954" s="323" t="s">
        <v>331</v>
      </c>
      <c r="C954" s="344"/>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7">
        <f>'4.  2011-2014 LRAM'!Y142*Y953</f>
        <v>0</v>
      </c>
      <c r="Z954" s="377">
        <f>'4.  2011-2014 LRAM'!Z142*Z953</f>
        <v>0</v>
      </c>
      <c r="AA954" s="377">
        <f>'4.  2011-2014 LRAM'!AA142*AA953</f>
        <v>0</v>
      </c>
      <c r="AB954" s="377">
        <f>'4.  2011-2014 LRAM'!AB142*AB953</f>
        <v>0</v>
      </c>
      <c r="AC954" s="377">
        <f>'4.  2011-2014 LRAM'!AC142*AC953</f>
        <v>0</v>
      </c>
      <c r="AD954" s="377">
        <f>'4.  2011-2014 LRAM'!AD142*AD953</f>
        <v>0</v>
      </c>
      <c r="AE954" s="377">
        <f>'4.  2011-2014 LRAM'!AE142*AE953</f>
        <v>0</v>
      </c>
      <c r="AF954" s="377">
        <f>'4.  2011-2014 LRAM'!AF142*AF953</f>
        <v>0</v>
      </c>
      <c r="AG954" s="377">
        <f>'4.  2011-2014 LRAM'!AG142*AG953</f>
        <v>0</v>
      </c>
      <c r="AH954" s="377">
        <f>'4.  2011-2014 LRAM'!AH142*AH953</f>
        <v>0</v>
      </c>
      <c r="AI954" s="377">
        <f>'4.  2011-2014 LRAM'!AI142*AI953</f>
        <v>0</v>
      </c>
      <c r="AJ954" s="377">
        <f>'4.  2011-2014 LRAM'!AJ142*AJ953</f>
        <v>0</v>
      </c>
      <c r="AK954" s="377">
        <f>'4.  2011-2014 LRAM'!AK142*AK953</f>
        <v>0</v>
      </c>
      <c r="AL954" s="377">
        <f>'4.  2011-2014 LRAM'!AL142*AL953</f>
        <v>0</v>
      </c>
      <c r="AM954" s="624">
        <f t="shared" ref="AM954:AM962" si="2855">SUM(Y954:AL954)</f>
        <v>0</v>
      </c>
    </row>
    <row r="955" spans="1:39">
      <c r="B955" s="323" t="s">
        <v>332</v>
      </c>
      <c r="C955" s="344"/>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7">
        <f>'4.  2011-2014 LRAM'!Y271*Y953</f>
        <v>0</v>
      </c>
      <c r="Z955" s="377">
        <f>'4.  2011-2014 LRAM'!Z271*Z953</f>
        <v>0</v>
      </c>
      <c r="AA955" s="377">
        <f>'4.  2011-2014 LRAM'!AA271*AA953</f>
        <v>0</v>
      </c>
      <c r="AB955" s="377">
        <f>'4.  2011-2014 LRAM'!AB271*AB953</f>
        <v>0</v>
      </c>
      <c r="AC955" s="377">
        <f>'4.  2011-2014 LRAM'!AC271*AC953</f>
        <v>0</v>
      </c>
      <c r="AD955" s="377">
        <f>'4.  2011-2014 LRAM'!AD271*AD953</f>
        <v>0</v>
      </c>
      <c r="AE955" s="377">
        <f>'4.  2011-2014 LRAM'!AE271*AE953</f>
        <v>0</v>
      </c>
      <c r="AF955" s="377">
        <f>'4.  2011-2014 LRAM'!AF271*AF953</f>
        <v>0</v>
      </c>
      <c r="AG955" s="377">
        <f>'4.  2011-2014 LRAM'!AG271*AG953</f>
        <v>0</v>
      </c>
      <c r="AH955" s="377">
        <f>'4.  2011-2014 LRAM'!AH271*AH953</f>
        <v>0</v>
      </c>
      <c r="AI955" s="377">
        <f>'4.  2011-2014 LRAM'!AI271*AI953</f>
        <v>0</v>
      </c>
      <c r="AJ955" s="377">
        <f>'4.  2011-2014 LRAM'!AJ271*AJ953</f>
        <v>0</v>
      </c>
      <c r="AK955" s="377">
        <f>'4.  2011-2014 LRAM'!AK271*AK953</f>
        <v>0</v>
      </c>
      <c r="AL955" s="377">
        <f>'4.  2011-2014 LRAM'!AL271*AL953</f>
        <v>0</v>
      </c>
      <c r="AM955" s="624">
        <f t="shared" si="2855"/>
        <v>0</v>
      </c>
    </row>
    <row r="956" spans="1:39">
      <c r="B956" s="323" t="s">
        <v>333</v>
      </c>
      <c r="C956" s="344"/>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7">
        <f>'4.  2011-2014 LRAM'!Y400*Y953</f>
        <v>0</v>
      </c>
      <c r="Z956" s="377">
        <f>'4.  2011-2014 LRAM'!Z400*Z953</f>
        <v>0</v>
      </c>
      <c r="AA956" s="377">
        <f>'4.  2011-2014 LRAM'!AA400*AA953</f>
        <v>0</v>
      </c>
      <c r="AB956" s="377">
        <f>'4.  2011-2014 LRAM'!AB400*AB953</f>
        <v>0</v>
      </c>
      <c r="AC956" s="377">
        <f>'4.  2011-2014 LRAM'!AC400*AC953</f>
        <v>0</v>
      </c>
      <c r="AD956" s="377">
        <f>'4.  2011-2014 LRAM'!AD400*AD953</f>
        <v>0</v>
      </c>
      <c r="AE956" s="377">
        <f>'4.  2011-2014 LRAM'!AE400*AE953</f>
        <v>0</v>
      </c>
      <c r="AF956" s="377">
        <f>'4.  2011-2014 LRAM'!AF400*AF953</f>
        <v>0</v>
      </c>
      <c r="AG956" s="377">
        <f>'4.  2011-2014 LRAM'!AG400*AG953</f>
        <v>0</v>
      </c>
      <c r="AH956" s="377">
        <f>'4.  2011-2014 LRAM'!AH400*AH953</f>
        <v>0</v>
      </c>
      <c r="AI956" s="377">
        <f>'4.  2011-2014 LRAM'!AI400*AI953</f>
        <v>0</v>
      </c>
      <c r="AJ956" s="377">
        <f>'4.  2011-2014 LRAM'!AJ400*AJ953</f>
        <v>0</v>
      </c>
      <c r="AK956" s="377">
        <f>'4.  2011-2014 LRAM'!AK400*AK953</f>
        <v>0</v>
      </c>
      <c r="AL956" s="377">
        <f>'4.  2011-2014 LRAM'!AL400*AL953</f>
        <v>0</v>
      </c>
      <c r="AM956" s="624">
        <f t="shared" si="2855"/>
        <v>0</v>
      </c>
    </row>
    <row r="957" spans="1:39">
      <c r="B957" s="323" t="s">
        <v>334</v>
      </c>
      <c r="C957" s="344"/>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7">
        <f>'4.  2011-2014 LRAM'!Y530*Y953</f>
        <v>0</v>
      </c>
      <c r="Z957" s="377">
        <f>'4.  2011-2014 LRAM'!Z530*Z953</f>
        <v>0</v>
      </c>
      <c r="AA957" s="377">
        <f>'4.  2011-2014 LRAM'!AA530*AA953</f>
        <v>0</v>
      </c>
      <c r="AB957" s="377">
        <f>'4.  2011-2014 LRAM'!AB530*AB953</f>
        <v>0</v>
      </c>
      <c r="AC957" s="377">
        <f>'4.  2011-2014 LRAM'!AC530*AC953</f>
        <v>0</v>
      </c>
      <c r="AD957" s="377">
        <f>'4.  2011-2014 LRAM'!AD530*AD953</f>
        <v>0</v>
      </c>
      <c r="AE957" s="377">
        <f>'4.  2011-2014 LRAM'!AE530*AE953</f>
        <v>0</v>
      </c>
      <c r="AF957" s="377">
        <f>'4.  2011-2014 LRAM'!AF530*AF953</f>
        <v>0</v>
      </c>
      <c r="AG957" s="377">
        <f>'4.  2011-2014 LRAM'!AG530*AG953</f>
        <v>0</v>
      </c>
      <c r="AH957" s="377">
        <f>'4.  2011-2014 LRAM'!AH530*AH953</f>
        <v>0</v>
      </c>
      <c r="AI957" s="377">
        <f>'4.  2011-2014 LRAM'!AI530*AI953</f>
        <v>0</v>
      </c>
      <c r="AJ957" s="377">
        <f>'4.  2011-2014 LRAM'!AJ530*AJ953</f>
        <v>0</v>
      </c>
      <c r="AK957" s="377">
        <f>'4.  2011-2014 LRAM'!AK530*AK953</f>
        <v>0</v>
      </c>
      <c r="AL957" s="377">
        <f>'4.  2011-2014 LRAM'!AL530*AL953</f>
        <v>0</v>
      </c>
      <c r="AM957" s="624">
        <f t="shared" si="2855"/>
        <v>0</v>
      </c>
    </row>
    <row r="958" spans="1:39">
      <c r="B958" s="323" t="s">
        <v>335</v>
      </c>
      <c r="C958" s="344"/>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7">
        <f t="shared" ref="Y958:AL958" si="2856">Y211*Y953</f>
        <v>0</v>
      </c>
      <c r="Z958" s="377">
        <f t="shared" si="2856"/>
        <v>0</v>
      </c>
      <c r="AA958" s="377">
        <f t="shared" si="2856"/>
        <v>0</v>
      </c>
      <c r="AB958" s="377">
        <f t="shared" si="2856"/>
        <v>0</v>
      </c>
      <c r="AC958" s="377">
        <f t="shared" si="2856"/>
        <v>0</v>
      </c>
      <c r="AD958" s="377">
        <f t="shared" si="2856"/>
        <v>0</v>
      </c>
      <c r="AE958" s="377">
        <f t="shared" si="2856"/>
        <v>0</v>
      </c>
      <c r="AF958" s="377">
        <f t="shared" si="2856"/>
        <v>0</v>
      </c>
      <c r="AG958" s="377">
        <f t="shared" si="2856"/>
        <v>0</v>
      </c>
      <c r="AH958" s="377">
        <f t="shared" si="2856"/>
        <v>0</v>
      </c>
      <c r="AI958" s="377">
        <f t="shared" si="2856"/>
        <v>0</v>
      </c>
      <c r="AJ958" s="377">
        <f t="shared" si="2856"/>
        <v>0</v>
      </c>
      <c r="AK958" s="377">
        <f t="shared" si="2856"/>
        <v>0</v>
      </c>
      <c r="AL958" s="377">
        <f t="shared" si="2856"/>
        <v>0</v>
      </c>
      <c r="AM958" s="624">
        <f t="shared" si="2855"/>
        <v>0</v>
      </c>
    </row>
    <row r="959" spans="1:39">
      <c r="B959" s="323" t="s">
        <v>336</v>
      </c>
      <c r="C959" s="344"/>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7">
        <f t="shared" ref="Y959:AL959" si="2857">Y397*Y953</f>
        <v>0</v>
      </c>
      <c r="Z959" s="377">
        <f t="shared" si="2857"/>
        <v>0</v>
      </c>
      <c r="AA959" s="377">
        <f t="shared" si="2857"/>
        <v>0</v>
      </c>
      <c r="AB959" s="377">
        <f t="shared" si="2857"/>
        <v>0</v>
      </c>
      <c r="AC959" s="377">
        <f t="shared" si="2857"/>
        <v>0</v>
      </c>
      <c r="AD959" s="377">
        <f t="shared" si="2857"/>
        <v>0</v>
      </c>
      <c r="AE959" s="377">
        <f t="shared" si="2857"/>
        <v>0</v>
      </c>
      <c r="AF959" s="377">
        <f t="shared" si="2857"/>
        <v>0</v>
      </c>
      <c r="AG959" s="377">
        <f t="shared" si="2857"/>
        <v>0</v>
      </c>
      <c r="AH959" s="377">
        <f t="shared" si="2857"/>
        <v>0</v>
      </c>
      <c r="AI959" s="377">
        <f t="shared" si="2857"/>
        <v>0</v>
      </c>
      <c r="AJ959" s="377">
        <f t="shared" si="2857"/>
        <v>0</v>
      </c>
      <c r="AK959" s="377">
        <f t="shared" si="2857"/>
        <v>0</v>
      </c>
      <c r="AL959" s="377">
        <f t="shared" si="2857"/>
        <v>0</v>
      </c>
      <c r="AM959" s="624">
        <f t="shared" si="2855"/>
        <v>0</v>
      </c>
    </row>
    <row r="960" spans="1:39">
      <c r="B960" s="323" t="s">
        <v>337</v>
      </c>
      <c r="C960" s="344"/>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7">
        <f t="shared" ref="Y960:AL960" si="2858">Y594*Y953</f>
        <v>0</v>
      </c>
      <c r="Z960" s="377">
        <f t="shared" si="2858"/>
        <v>0</v>
      </c>
      <c r="AA960" s="377">
        <f t="shared" si="2858"/>
        <v>0</v>
      </c>
      <c r="AB960" s="377">
        <f t="shared" si="2858"/>
        <v>0</v>
      </c>
      <c r="AC960" s="377">
        <f t="shared" si="2858"/>
        <v>0</v>
      </c>
      <c r="AD960" s="377">
        <f t="shared" si="2858"/>
        <v>0</v>
      </c>
      <c r="AE960" s="377">
        <f t="shared" si="2858"/>
        <v>0</v>
      </c>
      <c r="AF960" s="377">
        <f t="shared" si="2858"/>
        <v>0</v>
      </c>
      <c r="AG960" s="377">
        <f t="shared" si="2858"/>
        <v>0</v>
      </c>
      <c r="AH960" s="377">
        <f t="shared" si="2858"/>
        <v>0</v>
      </c>
      <c r="AI960" s="377">
        <f t="shared" si="2858"/>
        <v>0</v>
      </c>
      <c r="AJ960" s="377">
        <f t="shared" si="2858"/>
        <v>0</v>
      </c>
      <c r="AK960" s="377">
        <f t="shared" si="2858"/>
        <v>0</v>
      </c>
      <c r="AL960" s="377">
        <f t="shared" si="2858"/>
        <v>0</v>
      </c>
      <c r="AM960" s="624">
        <f t="shared" si="2855"/>
        <v>0</v>
      </c>
    </row>
    <row r="961" spans="1:39">
      <c r="B961" s="323" t="s">
        <v>338</v>
      </c>
      <c r="C961" s="344"/>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7">
        <f t="shared" ref="Y961:AL961" si="2859">Y783*Y953</f>
        <v>0</v>
      </c>
      <c r="Z961" s="377">
        <f t="shared" si="2859"/>
        <v>0</v>
      </c>
      <c r="AA961" s="377">
        <f t="shared" si="2859"/>
        <v>0</v>
      </c>
      <c r="AB961" s="377">
        <f t="shared" si="2859"/>
        <v>0</v>
      </c>
      <c r="AC961" s="377">
        <f t="shared" si="2859"/>
        <v>0</v>
      </c>
      <c r="AD961" s="377">
        <f t="shared" si="2859"/>
        <v>0</v>
      </c>
      <c r="AE961" s="377">
        <f t="shared" si="2859"/>
        <v>0</v>
      </c>
      <c r="AF961" s="377">
        <f t="shared" si="2859"/>
        <v>0</v>
      </c>
      <c r="AG961" s="377">
        <f t="shared" si="2859"/>
        <v>0</v>
      </c>
      <c r="AH961" s="377">
        <f t="shared" si="2859"/>
        <v>0</v>
      </c>
      <c r="AI961" s="377">
        <f t="shared" si="2859"/>
        <v>0</v>
      </c>
      <c r="AJ961" s="377">
        <f t="shared" si="2859"/>
        <v>0</v>
      </c>
      <c r="AK961" s="377">
        <f t="shared" si="2859"/>
        <v>0</v>
      </c>
      <c r="AL961" s="377">
        <f t="shared" si="2859"/>
        <v>0</v>
      </c>
      <c r="AM961" s="624">
        <f t="shared" si="2855"/>
        <v>0</v>
      </c>
    </row>
    <row r="962" spans="1:39">
      <c r="B962" s="323" t="s">
        <v>339</v>
      </c>
      <c r="C962" s="344"/>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7">
        <f>Y950*Y953</f>
        <v>0</v>
      </c>
      <c r="Z962" s="377">
        <f t="shared" ref="Z962:AL962" si="2860">Z950*Z953</f>
        <v>0</v>
      </c>
      <c r="AA962" s="377">
        <f t="shared" si="2860"/>
        <v>0</v>
      </c>
      <c r="AB962" s="377">
        <f t="shared" si="2860"/>
        <v>0</v>
      </c>
      <c r="AC962" s="377">
        <f t="shared" si="2860"/>
        <v>0</v>
      </c>
      <c r="AD962" s="377">
        <f t="shared" si="2860"/>
        <v>0</v>
      </c>
      <c r="AE962" s="377">
        <f t="shared" si="2860"/>
        <v>0</v>
      </c>
      <c r="AF962" s="377">
        <f t="shared" si="2860"/>
        <v>0</v>
      </c>
      <c r="AG962" s="377">
        <f t="shared" si="2860"/>
        <v>0</v>
      </c>
      <c r="AH962" s="377">
        <f t="shared" si="2860"/>
        <v>0</v>
      </c>
      <c r="AI962" s="377">
        <f t="shared" si="2860"/>
        <v>0</v>
      </c>
      <c r="AJ962" s="377">
        <f t="shared" si="2860"/>
        <v>0</v>
      </c>
      <c r="AK962" s="377">
        <f t="shared" si="2860"/>
        <v>0</v>
      </c>
      <c r="AL962" s="377">
        <f t="shared" si="2860"/>
        <v>0</v>
      </c>
      <c r="AM962" s="624">
        <f t="shared" si="2855"/>
        <v>0</v>
      </c>
    </row>
    <row r="963" spans="1:39" ht="15.75">
      <c r="B963" s="348" t="s">
        <v>343</v>
      </c>
      <c r="C963" s="344"/>
      <c r="D963" s="335"/>
      <c r="E963" s="333"/>
      <c r="F963" s="333"/>
      <c r="G963" s="333"/>
      <c r="H963" s="333"/>
      <c r="I963" s="333"/>
      <c r="J963" s="333"/>
      <c r="K963" s="333"/>
      <c r="L963" s="333"/>
      <c r="M963" s="333"/>
      <c r="N963" s="333"/>
      <c r="O963" s="300"/>
      <c r="P963" s="333"/>
      <c r="Q963" s="333"/>
      <c r="R963" s="333"/>
      <c r="S963" s="335"/>
      <c r="T963" s="335"/>
      <c r="U963" s="335"/>
      <c r="V963" s="335"/>
      <c r="W963" s="333"/>
      <c r="X963" s="333"/>
      <c r="Y963" s="345">
        <f>SUM(Y954:Y962)</f>
        <v>0</v>
      </c>
      <c r="Z963" s="345">
        <f t="shared" ref="Z963:AE963" si="2861">SUM(Z954:Z962)</f>
        <v>0</v>
      </c>
      <c r="AA963" s="345">
        <f t="shared" si="2861"/>
        <v>0</v>
      </c>
      <c r="AB963" s="345">
        <f t="shared" si="2861"/>
        <v>0</v>
      </c>
      <c r="AC963" s="345">
        <f t="shared" si="2861"/>
        <v>0</v>
      </c>
      <c r="AD963" s="345">
        <f t="shared" si="2861"/>
        <v>0</v>
      </c>
      <c r="AE963" s="345">
        <f t="shared" si="2861"/>
        <v>0</v>
      </c>
      <c r="AF963" s="345">
        <f>SUM(AF954:AF962)</f>
        <v>0</v>
      </c>
      <c r="AG963" s="345">
        <f t="shared" ref="AG963:AL963" si="2862">SUM(AG954:AG962)</f>
        <v>0</v>
      </c>
      <c r="AH963" s="345">
        <f t="shared" si="2862"/>
        <v>0</v>
      </c>
      <c r="AI963" s="345">
        <f t="shared" si="2862"/>
        <v>0</v>
      </c>
      <c r="AJ963" s="345">
        <f t="shared" si="2862"/>
        <v>0</v>
      </c>
      <c r="AK963" s="345">
        <f t="shared" si="2862"/>
        <v>0</v>
      </c>
      <c r="AL963" s="345">
        <f t="shared" si="2862"/>
        <v>0</v>
      </c>
      <c r="AM963" s="406">
        <f>SUM(AM954:AM962)</f>
        <v>0</v>
      </c>
    </row>
    <row r="964" spans="1:39" ht="15.75">
      <c r="B964" s="348" t="s">
        <v>344</v>
      </c>
      <c r="C964" s="344"/>
      <c r="D964" s="349"/>
      <c r="E964" s="333"/>
      <c r="F964" s="333"/>
      <c r="G964" s="333"/>
      <c r="H964" s="333"/>
      <c r="I964" s="333"/>
      <c r="J964" s="333"/>
      <c r="K964" s="333"/>
      <c r="L964" s="333"/>
      <c r="M964" s="333"/>
      <c r="N964" s="333"/>
      <c r="O964" s="300"/>
      <c r="P964" s="333"/>
      <c r="Q964" s="333"/>
      <c r="R964" s="333"/>
      <c r="S964" s="335"/>
      <c r="T964" s="335"/>
      <c r="U964" s="335"/>
      <c r="V964" s="335"/>
      <c r="W964" s="333"/>
      <c r="X964" s="333"/>
      <c r="Y964" s="346">
        <f>Y951*Y953</f>
        <v>0</v>
      </c>
      <c r="Z964" s="346">
        <f t="shared" ref="Z964:AE964" si="2863">Z951*Z953</f>
        <v>0</v>
      </c>
      <c r="AA964" s="346">
        <f t="shared" si="2863"/>
        <v>0</v>
      </c>
      <c r="AB964" s="346">
        <f t="shared" si="2863"/>
        <v>0</v>
      </c>
      <c r="AC964" s="346">
        <f t="shared" si="2863"/>
        <v>0</v>
      </c>
      <c r="AD964" s="346">
        <f t="shared" si="2863"/>
        <v>0</v>
      </c>
      <c r="AE964" s="346">
        <f t="shared" si="2863"/>
        <v>0</v>
      </c>
      <c r="AF964" s="346">
        <f>AF951*AF953</f>
        <v>0</v>
      </c>
      <c r="AG964" s="346">
        <f t="shared" ref="AG964:AL964" si="2864">AG951*AG953</f>
        <v>0</v>
      </c>
      <c r="AH964" s="346">
        <f t="shared" si="2864"/>
        <v>0</v>
      </c>
      <c r="AI964" s="346">
        <f t="shared" si="2864"/>
        <v>0</v>
      </c>
      <c r="AJ964" s="346">
        <f t="shared" si="2864"/>
        <v>0</v>
      </c>
      <c r="AK964" s="346">
        <f t="shared" si="2864"/>
        <v>0</v>
      </c>
      <c r="AL964" s="346">
        <f t="shared" si="2864"/>
        <v>0</v>
      </c>
      <c r="AM964" s="406">
        <f>SUM(Y964:AL964)</f>
        <v>0</v>
      </c>
    </row>
    <row r="965" spans="1:39" ht="15.75">
      <c r="B965" s="348" t="s">
        <v>345</v>
      </c>
      <c r="C965" s="344"/>
      <c r="D965" s="349"/>
      <c r="E965" s="333"/>
      <c r="F965" s="333"/>
      <c r="G965" s="333"/>
      <c r="H965" s="333"/>
      <c r="I965" s="333"/>
      <c r="J965" s="333"/>
      <c r="K965" s="333"/>
      <c r="L965" s="333"/>
      <c r="M965" s="333"/>
      <c r="N965" s="333"/>
      <c r="O965" s="300"/>
      <c r="P965" s="333"/>
      <c r="Q965" s="333"/>
      <c r="R965" s="333"/>
      <c r="S965" s="349"/>
      <c r="T965" s="349"/>
      <c r="U965" s="349"/>
      <c r="V965" s="349"/>
      <c r="W965" s="333"/>
      <c r="X965" s="333"/>
      <c r="Y965" s="350"/>
      <c r="Z965" s="350"/>
      <c r="AA965" s="350"/>
      <c r="AB965" s="350"/>
      <c r="AC965" s="350"/>
      <c r="AD965" s="350"/>
      <c r="AE965" s="350"/>
      <c r="AF965" s="350"/>
      <c r="AG965" s="350"/>
      <c r="AH965" s="350"/>
      <c r="AI965" s="350"/>
      <c r="AJ965" s="350"/>
      <c r="AK965" s="350"/>
      <c r="AL965" s="350"/>
      <c r="AM965" s="406">
        <f>AM963-AM964</f>
        <v>0</v>
      </c>
    </row>
    <row r="966" spans="1:39">
      <c r="B966" s="323"/>
      <c r="C966" s="349"/>
      <c r="D966" s="349"/>
      <c r="E966" s="333"/>
      <c r="F966" s="333"/>
      <c r="G966" s="333"/>
      <c r="H966" s="333"/>
      <c r="I966" s="333"/>
      <c r="J966" s="333"/>
      <c r="K966" s="333"/>
      <c r="L966" s="333"/>
      <c r="M966" s="333"/>
      <c r="N966" s="333"/>
      <c r="O966" s="300"/>
      <c r="P966" s="333"/>
      <c r="Q966" s="333"/>
      <c r="R966" s="333"/>
      <c r="S966" s="349"/>
      <c r="T966" s="344"/>
      <c r="U966" s="349"/>
      <c r="V966" s="349"/>
      <c r="W966" s="333"/>
      <c r="X966" s="333"/>
      <c r="Y966" s="351"/>
      <c r="Z966" s="351"/>
      <c r="AA966" s="351"/>
      <c r="AB966" s="351"/>
      <c r="AC966" s="351"/>
      <c r="AD966" s="351"/>
      <c r="AE966" s="351"/>
      <c r="AF966" s="351"/>
      <c r="AG966" s="351"/>
      <c r="AH966" s="351"/>
      <c r="AI966" s="351"/>
      <c r="AJ966" s="351"/>
      <c r="AK966" s="351"/>
      <c r="AL966" s="351"/>
      <c r="AM966" s="336"/>
    </row>
    <row r="967" spans="1:39">
      <c r="B967" s="437" t="s">
        <v>340</v>
      </c>
      <c r="C967" s="363"/>
      <c r="D967" s="383"/>
      <c r="E967" s="383"/>
      <c r="F967" s="383"/>
      <c r="G967" s="383"/>
      <c r="H967" s="383"/>
      <c r="I967" s="383"/>
      <c r="J967" s="383"/>
      <c r="K967" s="383"/>
      <c r="L967" s="383"/>
      <c r="M967" s="383"/>
      <c r="N967" s="383"/>
      <c r="O967" s="382"/>
      <c r="P967" s="383"/>
      <c r="Q967" s="383"/>
      <c r="R967" s="383"/>
      <c r="S967" s="363"/>
      <c r="T967" s="384"/>
      <c r="U967" s="384"/>
      <c r="V967" s="383"/>
      <c r="W967" s="383"/>
      <c r="X967" s="384"/>
      <c r="Y967" s="325">
        <f>SUMPRODUCT(E793:E948,Y793:Y948)</f>
        <v>0</v>
      </c>
      <c r="Z967" s="325">
        <f>SUMPRODUCT(E793:E948,Z793:Z948)</f>
        <v>0</v>
      </c>
      <c r="AA967" s="325">
        <f t="shared" ref="AA967:AL967" si="2865">IF(AA791="kw",SUMPRODUCT($N$793:$N$948,$P$793:$P$948,AA793:AA948),SUMPRODUCT($E$793:$E$948,AA793:AA948))</f>
        <v>0</v>
      </c>
      <c r="AB967" s="325">
        <f t="shared" si="2865"/>
        <v>0</v>
      </c>
      <c r="AC967" s="325">
        <f t="shared" si="2865"/>
        <v>0</v>
      </c>
      <c r="AD967" s="325">
        <f t="shared" si="2865"/>
        <v>0</v>
      </c>
      <c r="AE967" s="325">
        <f t="shared" si="2865"/>
        <v>0</v>
      </c>
      <c r="AF967" s="325">
        <f t="shared" si="2865"/>
        <v>0</v>
      </c>
      <c r="AG967" s="325">
        <f t="shared" si="2865"/>
        <v>0</v>
      </c>
      <c r="AH967" s="325">
        <f t="shared" si="2865"/>
        <v>0</v>
      </c>
      <c r="AI967" s="325">
        <f t="shared" si="2865"/>
        <v>0</v>
      </c>
      <c r="AJ967" s="325">
        <f t="shared" si="2865"/>
        <v>0</v>
      </c>
      <c r="AK967" s="325">
        <f t="shared" si="2865"/>
        <v>0</v>
      </c>
      <c r="AL967" s="325">
        <f t="shared" si="2865"/>
        <v>0</v>
      </c>
      <c r="AM967" s="385"/>
    </row>
    <row r="968" spans="1:39" ht="18.75" customHeight="1">
      <c r="B968" s="367" t="s">
        <v>582</v>
      </c>
      <c r="C968" s="386"/>
      <c r="D968" s="387"/>
      <c r="E968" s="387"/>
      <c r="F968" s="387"/>
      <c r="G968" s="387"/>
      <c r="H968" s="387"/>
      <c r="I968" s="387"/>
      <c r="J968" s="387"/>
      <c r="K968" s="387"/>
      <c r="L968" s="387"/>
      <c r="M968" s="387"/>
      <c r="N968" s="387"/>
      <c r="O968" s="387"/>
      <c r="P968" s="387"/>
      <c r="Q968" s="387"/>
      <c r="R968" s="387"/>
      <c r="S968" s="370"/>
      <c r="T968" s="371"/>
      <c r="U968" s="387"/>
      <c r="V968" s="387"/>
      <c r="W968" s="387"/>
      <c r="X968" s="387"/>
      <c r="Y968" s="408"/>
      <c r="Z968" s="408"/>
      <c r="AA968" s="408"/>
      <c r="AB968" s="408"/>
      <c r="AC968" s="408"/>
      <c r="AD968" s="408"/>
      <c r="AE968" s="408"/>
      <c r="AF968" s="408"/>
      <c r="AG968" s="408"/>
      <c r="AH968" s="408"/>
      <c r="AI968" s="408"/>
      <c r="AJ968" s="408"/>
      <c r="AK968" s="408"/>
      <c r="AL968" s="408"/>
      <c r="AM968" s="388"/>
    </row>
    <row r="969" spans="1:39" collapsed="1"/>
    <row r="971" spans="1:39" ht="15.75">
      <c r="B971" s="280" t="s">
        <v>341</v>
      </c>
      <c r="C971" s="281"/>
      <c r="D971" s="585" t="s">
        <v>526</v>
      </c>
      <c r="E971" s="253"/>
      <c r="F971" s="585"/>
      <c r="G971" s="253"/>
      <c r="H971" s="253"/>
      <c r="I971" s="253"/>
      <c r="J971" s="253"/>
      <c r="K971" s="253"/>
      <c r="L971" s="253"/>
      <c r="M971" s="253"/>
      <c r="N971" s="253"/>
      <c r="O971" s="281"/>
      <c r="P971" s="253"/>
      <c r="Q971" s="253"/>
      <c r="R971" s="253"/>
      <c r="S971" s="253"/>
      <c r="T971" s="253"/>
      <c r="U971" s="253"/>
      <c r="V971" s="253"/>
      <c r="W971" s="253"/>
      <c r="X971" s="253"/>
      <c r="Y971" s="270"/>
      <c r="Z971" s="267"/>
      <c r="AA971" s="267"/>
      <c r="AB971" s="267"/>
      <c r="AC971" s="267"/>
      <c r="AD971" s="267"/>
      <c r="AE971" s="267"/>
      <c r="AF971" s="267"/>
      <c r="AG971" s="267"/>
      <c r="AH971" s="267"/>
      <c r="AI971" s="267"/>
      <c r="AJ971" s="267"/>
      <c r="AK971" s="267"/>
      <c r="AL971" s="267"/>
    </row>
    <row r="972" spans="1:39" ht="39.75" customHeight="1">
      <c r="B972" s="1199" t="s">
        <v>211</v>
      </c>
      <c r="C972" s="1201" t="s">
        <v>33</v>
      </c>
      <c r="D972" s="284" t="s">
        <v>422</v>
      </c>
      <c r="E972" s="1203" t="s">
        <v>209</v>
      </c>
      <c r="F972" s="1204"/>
      <c r="G972" s="1204"/>
      <c r="H972" s="1204"/>
      <c r="I972" s="1204"/>
      <c r="J972" s="1204"/>
      <c r="K972" s="1204"/>
      <c r="L972" s="1204"/>
      <c r="M972" s="1205"/>
      <c r="N972" s="1206" t="s">
        <v>213</v>
      </c>
      <c r="O972" s="284" t="s">
        <v>423</v>
      </c>
      <c r="P972" s="1203" t="s">
        <v>212</v>
      </c>
      <c r="Q972" s="1204"/>
      <c r="R972" s="1204"/>
      <c r="S972" s="1204"/>
      <c r="T972" s="1204"/>
      <c r="U972" s="1204"/>
      <c r="V972" s="1204"/>
      <c r="W972" s="1204"/>
      <c r="X972" s="1205"/>
      <c r="Y972" s="1196" t="s">
        <v>243</v>
      </c>
      <c r="Z972" s="1197"/>
      <c r="AA972" s="1197"/>
      <c r="AB972" s="1197"/>
      <c r="AC972" s="1197"/>
      <c r="AD972" s="1197"/>
      <c r="AE972" s="1197"/>
      <c r="AF972" s="1197"/>
      <c r="AG972" s="1197"/>
      <c r="AH972" s="1197"/>
      <c r="AI972" s="1197"/>
      <c r="AJ972" s="1197"/>
      <c r="AK972" s="1197"/>
      <c r="AL972" s="1197"/>
      <c r="AM972" s="1198"/>
    </row>
    <row r="973" spans="1:39" ht="65.25" customHeight="1">
      <c r="B973" s="1200"/>
      <c r="C973" s="1202"/>
      <c r="D973" s="285">
        <v>2020</v>
      </c>
      <c r="E973" s="285">
        <v>2021</v>
      </c>
      <c r="F973" s="285">
        <v>2022</v>
      </c>
      <c r="G973" s="285">
        <v>2023</v>
      </c>
      <c r="H973" s="285">
        <v>2024</v>
      </c>
      <c r="I973" s="285">
        <v>2025</v>
      </c>
      <c r="J973" s="285">
        <v>2026</v>
      </c>
      <c r="K973" s="285">
        <v>2027</v>
      </c>
      <c r="L973" s="285">
        <v>2028</v>
      </c>
      <c r="M973" s="285">
        <v>2029</v>
      </c>
      <c r="N973" s="1207"/>
      <c r="O973" s="285">
        <v>2020</v>
      </c>
      <c r="P973" s="285">
        <v>2021</v>
      </c>
      <c r="Q973" s="285">
        <v>2022</v>
      </c>
      <c r="R973" s="285">
        <v>2023</v>
      </c>
      <c r="S973" s="285">
        <v>2024</v>
      </c>
      <c r="T973" s="285">
        <v>2025</v>
      </c>
      <c r="U973" s="285">
        <v>2026</v>
      </c>
      <c r="V973" s="285">
        <v>2027</v>
      </c>
      <c r="W973" s="285">
        <v>2028</v>
      </c>
      <c r="X973" s="285">
        <v>2029</v>
      </c>
      <c r="Y973" s="285" t="str">
        <f>'1.  LRAMVA Summary'!D52</f>
        <v>Residential</v>
      </c>
      <c r="Z973" s="285" t="str">
        <f>'1.  LRAMVA Summary'!E52</f>
        <v>GS&lt;50 kW</v>
      </c>
      <c r="AA973" s="285" t="str">
        <f>'1.  LRAMVA Summary'!F52</f>
        <v>GS&gt; 50 kW</v>
      </c>
      <c r="AB973" s="285" t="str">
        <f>'1.  LRAMVA Summary'!G52</f>
        <v>Streetlighting kW</v>
      </c>
      <c r="AC973" s="285" t="str">
        <f>'1.  LRAMVA Summary'!H52</f>
        <v/>
      </c>
      <c r="AD973" s="285" t="str">
        <f>'1.  LRAMVA Summary'!I52</f>
        <v/>
      </c>
      <c r="AE973" s="285" t="str">
        <f>'1.  LRAMVA Summary'!J52</f>
        <v/>
      </c>
      <c r="AF973" s="285" t="str">
        <f>'1.  LRAMVA Summary'!K52</f>
        <v/>
      </c>
      <c r="AG973" s="285" t="str">
        <f>'1.  LRAMVA Summary'!L52</f>
        <v/>
      </c>
      <c r="AH973" s="285" t="str">
        <f>'1.  LRAMVA Summary'!M52</f>
        <v/>
      </c>
      <c r="AI973" s="285" t="str">
        <f>'1.  LRAMVA Summary'!N52</f>
        <v/>
      </c>
      <c r="AJ973" s="285" t="str">
        <f>'1.  LRAMVA Summary'!O52</f>
        <v/>
      </c>
      <c r="AK973" s="285" t="str">
        <f>'1.  LRAMVA Summary'!P52</f>
        <v/>
      </c>
      <c r="AL973" s="285" t="str">
        <f>'1.  LRAMVA Summary'!Q52</f>
        <v/>
      </c>
      <c r="AM973" s="287" t="str">
        <f>'1.  LRAMVA Summary'!R52</f>
        <v>Total</v>
      </c>
    </row>
    <row r="974" spans="1:39" ht="15" customHeight="1">
      <c r="A974" s="527"/>
      <c r="B974" s="513" t="s">
        <v>504</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291" t="str">
        <f>'1.  LRAMVA Summary'!D53</f>
        <v>kWh</v>
      </c>
      <c r="Z974" s="291" t="str">
        <f>'1.  LRAMVA Summary'!E53</f>
        <v>kWh</v>
      </c>
      <c r="AA974" s="291" t="str">
        <f>'1.  LRAMVA Summary'!F53</f>
        <v>kW</v>
      </c>
      <c r="AB974" s="291" t="str">
        <f>'1.  LRAMVA Summary'!G53</f>
        <v>kW</v>
      </c>
      <c r="AC974" s="291">
        <f>'1.  LRAMVA Summary'!H53</f>
        <v>0</v>
      </c>
      <c r="AD974" s="291">
        <f>'1.  LRAMVA Summary'!I53</f>
        <v>0</v>
      </c>
      <c r="AE974" s="291">
        <f>'1.  LRAMVA Summary'!J53</f>
        <v>0</v>
      </c>
      <c r="AF974" s="291">
        <f>'1.  LRAMVA Summary'!K53</f>
        <v>0</v>
      </c>
      <c r="AG974" s="291">
        <f>'1.  LRAMVA Summary'!L53</f>
        <v>0</v>
      </c>
      <c r="AH974" s="291">
        <f>'1.  LRAMVA Summary'!M53</f>
        <v>0</v>
      </c>
      <c r="AI974" s="291">
        <f>'1.  LRAMVA Summary'!N53</f>
        <v>0</v>
      </c>
      <c r="AJ974" s="291">
        <f>'1.  LRAMVA Summary'!O53</f>
        <v>0</v>
      </c>
      <c r="AK974" s="291">
        <f>'1.  LRAMVA Summary'!P53</f>
        <v>0</v>
      </c>
      <c r="AL974" s="291">
        <f>'1.  LRAMVA Summary'!Q53</f>
        <v>0</v>
      </c>
      <c r="AM974" s="292"/>
    </row>
    <row r="975" spans="1:39" ht="15" hidden="1" customHeight="1" outlineLevel="1">
      <c r="A975" s="527"/>
      <c r="B975" s="499" t="s">
        <v>497</v>
      </c>
      <c r="C975" s="289"/>
      <c r="D975" s="289"/>
      <c r="E975" s="289"/>
      <c r="F975" s="289"/>
      <c r="G975" s="289"/>
      <c r="H975" s="289"/>
      <c r="I975" s="289"/>
      <c r="J975" s="289"/>
      <c r="K975" s="289"/>
      <c r="L975" s="289"/>
      <c r="M975" s="289"/>
      <c r="N975" s="290"/>
      <c r="O975" s="289"/>
      <c r="P975" s="289"/>
      <c r="Q975" s="289"/>
      <c r="R975" s="289"/>
      <c r="S975" s="289"/>
      <c r="T975" s="289"/>
      <c r="U975" s="289"/>
      <c r="V975" s="289"/>
      <c r="W975" s="289"/>
      <c r="X975" s="289"/>
      <c r="Y975" s="291"/>
      <c r="Z975" s="291"/>
      <c r="AA975" s="291"/>
      <c r="AB975" s="291"/>
      <c r="AC975" s="291"/>
      <c r="AD975" s="291"/>
      <c r="AE975" s="291"/>
      <c r="AF975" s="291"/>
      <c r="AG975" s="291"/>
      <c r="AH975" s="291"/>
      <c r="AI975" s="291"/>
      <c r="AJ975" s="291"/>
      <c r="AK975" s="291"/>
      <c r="AL975" s="291"/>
      <c r="AM975" s="292"/>
    </row>
    <row r="976" spans="1:39" ht="15" hidden="1" customHeight="1" outlineLevel="1">
      <c r="A976" s="527">
        <v>1</v>
      </c>
      <c r="B976" s="425" t="s">
        <v>95</v>
      </c>
      <c r="C976" s="291" t="s">
        <v>25</v>
      </c>
      <c r="D976" s="295"/>
      <c r="E976" s="295"/>
      <c r="F976" s="295"/>
      <c r="G976" s="295"/>
      <c r="H976" s="295"/>
      <c r="I976" s="295"/>
      <c r="J976" s="295"/>
      <c r="K976" s="295"/>
      <c r="L976" s="295"/>
      <c r="M976" s="295"/>
      <c r="N976" s="291"/>
      <c r="O976" s="295"/>
      <c r="P976" s="295"/>
      <c r="Q976" s="295"/>
      <c r="R976" s="295"/>
      <c r="S976" s="295"/>
      <c r="T976" s="295"/>
      <c r="U976" s="295"/>
      <c r="V976" s="295"/>
      <c r="W976" s="295"/>
      <c r="X976" s="295"/>
      <c r="Y976" s="414"/>
      <c r="Z976" s="414"/>
      <c r="AA976" s="414"/>
      <c r="AB976" s="414"/>
      <c r="AC976" s="414"/>
      <c r="AD976" s="414"/>
      <c r="AE976" s="414"/>
      <c r="AF976" s="409"/>
      <c r="AG976" s="409"/>
      <c r="AH976" s="409"/>
      <c r="AI976" s="409"/>
      <c r="AJ976" s="409"/>
      <c r="AK976" s="409"/>
      <c r="AL976" s="409"/>
      <c r="AM976" s="296">
        <f>SUM(Y976:AL976)</f>
        <v>0</v>
      </c>
    </row>
    <row r="977" spans="1:39" ht="15" hidden="1" customHeight="1" outlineLevel="1">
      <c r="A977" s="527"/>
      <c r="B977" s="294" t="s">
        <v>346</v>
      </c>
      <c r="C977" s="291" t="s">
        <v>163</v>
      </c>
      <c r="D977" s="295"/>
      <c r="E977" s="295"/>
      <c r="F977" s="295"/>
      <c r="G977" s="295"/>
      <c r="H977" s="295"/>
      <c r="I977" s="295"/>
      <c r="J977" s="295"/>
      <c r="K977" s="295"/>
      <c r="L977" s="295"/>
      <c r="M977" s="295"/>
      <c r="N977" s="464"/>
      <c r="O977" s="295"/>
      <c r="P977" s="295"/>
      <c r="Q977" s="295"/>
      <c r="R977" s="295"/>
      <c r="S977" s="295"/>
      <c r="T977" s="295"/>
      <c r="U977" s="295"/>
      <c r="V977" s="295"/>
      <c r="W977" s="295"/>
      <c r="X977" s="295"/>
      <c r="Y977" s="410">
        <f>Y976</f>
        <v>0</v>
      </c>
      <c r="Z977" s="410">
        <f t="shared" ref="Z977" si="2866">Z976</f>
        <v>0</v>
      </c>
      <c r="AA977" s="410">
        <f t="shared" ref="AA977" si="2867">AA976</f>
        <v>0</v>
      </c>
      <c r="AB977" s="410">
        <f t="shared" ref="AB977" si="2868">AB976</f>
        <v>0</v>
      </c>
      <c r="AC977" s="410">
        <f t="shared" ref="AC977" si="2869">AC976</f>
        <v>0</v>
      </c>
      <c r="AD977" s="410">
        <f t="shared" ref="AD977" si="2870">AD976</f>
        <v>0</v>
      </c>
      <c r="AE977" s="410">
        <f t="shared" ref="AE977" si="2871">AE976</f>
        <v>0</v>
      </c>
      <c r="AF977" s="410">
        <f t="shared" ref="AF977" si="2872">AF976</f>
        <v>0</v>
      </c>
      <c r="AG977" s="410">
        <f t="shared" ref="AG977" si="2873">AG976</f>
        <v>0</v>
      </c>
      <c r="AH977" s="410">
        <f t="shared" ref="AH977" si="2874">AH976</f>
        <v>0</v>
      </c>
      <c r="AI977" s="410">
        <f t="shared" ref="AI977" si="2875">AI976</f>
        <v>0</v>
      </c>
      <c r="AJ977" s="410">
        <f t="shared" ref="AJ977" si="2876">AJ976</f>
        <v>0</v>
      </c>
      <c r="AK977" s="410">
        <f t="shared" ref="AK977" si="2877">AK976</f>
        <v>0</v>
      </c>
      <c r="AL977" s="410">
        <f t="shared" ref="AL977" si="2878">AL976</f>
        <v>0</v>
      </c>
      <c r="AM977" s="297"/>
    </row>
    <row r="978" spans="1:39" ht="15" hidden="1" customHeight="1" outlineLevel="1">
      <c r="A978" s="527"/>
      <c r="B978" s="298"/>
      <c r="C978" s="299"/>
      <c r="D978" s="299"/>
      <c r="E978" s="299"/>
      <c r="F978" s="299"/>
      <c r="G978" s="299"/>
      <c r="H978" s="299"/>
      <c r="I978" s="299"/>
      <c r="J978" s="299"/>
      <c r="K978" s="299"/>
      <c r="L978" s="299"/>
      <c r="M978" s="299"/>
      <c r="N978" s="300"/>
      <c r="O978" s="299"/>
      <c r="P978" s="299"/>
      <c r="Q978" s="299"/>
      <c r="R978" s="299"/>
      <c r="S978" s="299"/>
      <c r="T978" s="299"/>
      <c r="U978" s="299"/>
      <c r="V978" s="299"/>
      <c r="W978" s="299"/>
      <c r="X978" s="299"/>
      <c r="Y978" s="411"/>
      <c r="Z978" s="412"/>
      <c r="AA978" s="412"/>
      <c r="AB978" s="412"/>
      <c r="AC978" s="412"/>
      <c r="AD978" s="412"/>
      <c r="AE978" s="412"/>
      <c r="AF978" s="412"/>
      <c r="AG978" s="412"/>
      <c r="AH978" s="412"/>
      <c r="AI978" s="412"/>
      <c r="AJ978" s="412"/>
      <c r="AK978" s="412"/>
      <c r="AL978" s="412"/>
      <c r="AM978" s="302"/>
    </row>
    <row r="979" spans="1:39" ht="15" hidden="1" customHeight="1" outlineLevel="1">
      <c r="A979" s="527">
        <v>2</v>
      </c>
      <c r="B979" s="425" t="s">
        <v>96</v>
      </c>
      <c r="C979" s="291" t="s">
        <v>25</v>
      </c>
      <c r="D979" s="295"/>
      <c r="E979" s="295"/>
      <c r="F979" s="295"/>
      <c r="G979" s="295"/>
      <c r="H979" s="295"/>
      <c r="I979" s="295"/>
      <c r="J979" s="295"/>
      <c r="K979" s="295"/>
      <c r="L979" s="295"/>
      <c r="M979" s="295"/>
      <c r="N979" s="291"/>
      <c r="O979" s="295"/>
      <c r="P979" s="295"/>
      <c r="Q979" s="295"/>
      <c r="R979" s="295"/>
      <c r="S979" s="295"/>
      <c r="T979" s="295"/>
      <c r="U979" s="295"/>
      <c r="V979" s="295"/>
      <c r="W979" s="295"/>
      <c r="X979" s="295"/>
      <c r="Y979" s="414"/>
      <c r="Z979" s="414"/>
      <c r="AA979" s="414"/>
      <c r="AB979" s="414"/>
      <c r="AC979" s="414"/>
      <c r="AD979" s="414"/>
      <c r="AE979" s="414"/>
      <c r="AF979" s="409"/>
      <c r="AG979" s="409"/>
      <c r="AH979" s="409"/>
      <c r="AI979" s="409"/>
      <c r="AJ979" s="409"/>
      <c r="AK979" s="409"/>
      <c r="AL979" s="409"/>
      <c r="AM979" s="296">
        <f>SUM(Y979:AL979)</f>
        <v>0</v>
      </c>
    </row>
    <row r="980" spans="1:39" ht="15" hidden="1" customHeight="1" outlineLevel="1">
      <c r="A980" s="527"/>
      <c r="B980" s="294" t="s">
        <v>346</v>
      </c>
      <c r="C980" s="291" t="s">
        <v>163</v>
      </c>
      <c r="D980" s="295"/>
      <c r="E980" s="295"/>
      <c r="F980" s="295"/>
      <c r="G980" s="295"/>
      <c r="H980" s="295"/>
      <c r="I980" s="295"/>
      <c r="J980" s="295"/>
      <c r="K980" s="295"/>
      <c r="L980" s="295"/>
      <c r="M980" s="295"/>
      <c r="N980" s="464"/>
      <c r="O980" s="295"/>
      <c r="P980" s="295"/>
      <c r="Q980" s="295"/>
      <c r="R980" s="295"/>
      <c r="S980" s="295"/>
      <c r="T980" s="295"/>
      <c r="U980" s="295"/>
      <c r="V980" s="295"/>
      <c r="W980" s="295"/>
      <c r="X980" s="295"/>
      <c r="Y980" s="410">
        <f>Y979</f>
        <v>0</v>
      </c>
      <c r="Z980" s="410">
        <f t="shared" ref="Z980" si="2879">Z979</f>
        <v>0</v>
      </c>
      <c r="AA980" s="410">
        <f t="shared" ref="AA980" si="2880">AA979</f>
        <v>0</v>
      </c>
      <c r="AB980" s="410">
        <f t="shared" ref="AB980" si="2881">AB979</f>
        <v>0</v>
      </c>
      <c r="AC980" s="410">
        <f t="shared" ref="AC980" si="2882">AC979</f>
        <v>0</v>
      </c>
      <c r="AD980" s="410">
        <f t="shared" ref="AD980" si="2883">AD979</f>
        <v>0</v>
      </c>
      <c r="AE980" s="410">
        <f t="shared" ref="AE980" si="2884">AE979</f>
        <v>0</v>
      </c>
      <c r="AF980" s="410">
        <f t="shared" ref="AF980" si="2885">AF979</f>
        <v>0</v>
      </c>
      <c r="AG980" s="410">
        <f t="shared" ref="AG980" si="2886">AG979</f>
        <v>0</v>
      </c>
      <c r="AH980" s="410">
        <f t="shared" ref="AH980" si="2887">AH979</f>
        <v>0</v>
      </c>
      <c r="AI980" s="410">
        <f t="shared" ref="AI980" si="2888">AI979</f>
        <v>0</v>
      </c>
      <c r="AJ980" s="410">
        <f t="shared" ref="AJ980" si="2889">AJ979</f>
        <v>0</v>
      </c>
      <c r="AK980" s="410">
        <f t="shared" ref="AK980" si="2890">AK979</f>
        <v>0</v>
      </c>
      <c r="AL980" s="410">
        <f t="shared" ref="AL980" si="2891">AL979</f>
        <v>0</v>
      </c>
      <c r="AM980" s="297"/>
    </row>
    <row r="981" spans="1:39" ht="15" hidden="1" customHeight="1" outlineLevel="1">
      <c r="A981" s="527"/>
      <c r="B981" s="298"/>
      <c r="C981" s="299"/>
      <c r="D981" s="304"/>
      <c r="E981" s="304"/>
      <c r="F981" s="304"/>
      <c r="G981" s="304"/>
      <c r="H981" s="304"/>
      <c r="I981" s="304"/>
      <c r="J981" s="304"/>
      <c r="K981" s="304"/>
      <c r="L981" s="304"/>
      <c r="M981" s="304"/>
      <c r="N981" s="300"/>
      <c r="O981" s="304"/>
      <c r="P981" s="304"/>
      <c r="Q981" s="304"/>
      <c r="R981" s="304"/>
      <c r="S981" s="304"/>
      <c r="T981" s="304"/>
      <c r="U981" s="304"/>
      <c r="V981" s="304"/>
      <c r="W981" s="304"/>
      <c r="X981" s="304"/>
      <c r="Y981" s="411"/>
      <c r="Z981" s="412"/>
      <c r="AA981" s="412"/>
      <c r="AB981" s="412"/>
      <c r="AC981" s="412"/>
      <c r="AD981" s="412"/>
      <c r="AE981" s="412"/>
      <c r="AF981" s="412"/>
      <c r="AG981" s="412"/>
      <c r="AH981" s="412"/>
      <c r="AI981" s="412"/>
      <c r="AJ981" s="412"/>
      <c r="AK981" s="412"/>
      <c r="AL981" s="412"/>
      <c r="AM981" s="302"/>
    </row>
    <row r="982" spans="1:39" ht="15" hidden="1" customHeight="1" outlineLevel="1">
      <c r="A982" s="527">
        <v>3</v>
      </c>
      <c r="B982" s="425" t="s">
        <v>97</v>
      </c>
      <c r="C982" s="291" t="s">
        <v>25</v>
      </c>
      <c r="D982" s="295"/>
      <c r="E982" s="295"/>
      <c r="F982" s="295"/>
      <c r="G982" s="295"/>
      <c r="H982" s="295"/>
      <c r="I982" s="295"/>
      <c r="J982" s="295"/>
      <c r="K982" s="295"/>
      <c r="L982" s="295"/>
      <c r="M982" s="295"/>
      <c r="N982" s="291"/>
      <c r="O982" s="295"/>
      <c r="P982" s="295"/>
      <c r="Q982" s="295"/>
      <c r="R982" s="295"/>
      <c r="S982" s="295"/>
      <c r="T982" s="295"/>
      <c r="U982" s="295"/>
      <c r="V982" s="295"/>
      <c r="W982" s="295"/>
      <c r="X982" s="295"/>
      <c r="Y982" s="414"/>
      <c r="Z982" s="414"/>
      <c r="AA982" s="414"/>
      <c r="AB982" s="414"/>
      <c r="AC982" s="414"/>
      <c r="AD982" s="414"/>
      <c r="AE982" s="414"/>
      <c r="AF982" s="409"/>
      <c r="AG982" s="409"/>
      <c r="AH982" s="409"/>
      <c r="AI982" s="409"/>
      <c r="AJ982" s="409"/>
      <c r="AK982" s="409"/>
      <c r="AL982" s="409"/>
      <c r="AM982" s="296">
        <f>SUM(Y982:AL982)</f>
        <v>0</v>
      </c>
    </row>
    <row r="983" spans="1:39" ht="15" hidden="1" customHeight="1" outlineLevel="1">
      <c r="A983" s="527"/>
      <c r="B983" s="294" t="s">
        <v>346</v>
      </c>
      <c r="C983" s="291" t="s">
        <v>163</v>
      </c>
      <c r="D983" s="295"/>
      <c r="E983" s="295"/>
      <c r="F983" s="295"/>
      <c r="G983" s="295"/>
      <c r="H983" s="295"/>
      <c r="I983" s="295"/>
      <c r="J983" s="295"/>
      <c r="K983" s="295"/>
      <c r="L983" s="295"/>
      <c r="M983" s="295"/>
      <c r="N983" s="464"/>
      <c r="O983" s="295"/>
      <c r="P983" s="295"/>
      <c r="Q983" s="295"/>
      <c r="R983" s="295"/>
      <c r="S983" s="295"/>
      <c r="T983" s="295"/>
      <c r="U983" s="295"/>
      <c r="V983" s="295"/>
      <c r="W983" s="295"/>
      <c r="X983" s="295"/>
      <c r="Y983" s="410">
        <f>Y982</f>
        <v>0</v>
      </c>
      <c r="Z983" s="410">
        <f t="shared" ref="Z983" si="2892">Z982</f>
        <v>0</v>
      </c>
      <c r="AA983" s="410">
        <f t="shared" ref="AA983" si="2893">AA982</f>
        <v>0</v>
      </c>
      <c r="AB983" s="410">
        <f t="shared" ref="AB983" si="2894">AB982</f>
        <v>0</v>
      </c>
      <c r="AC983" s="410">
        <f t="shared" ref="AC983" si="2895">AC982</f>
        <v>0</v>
      </c>
      <c r="AD983" s="410">
        <f t="shared" ref="AD983" si="2896">AD982</f>
        <v>0</v>
      </c>
      <c r="AE983" s="410">
        <f t="shared" ref="AE983" si="2897">AE982</f>
        <v>0</v>
      </c>
      <c r="AF983" s="410">
        <f t="shared" ref="AF983" si="2898">AF982</f>
        <v>0</v>
      </c>
      <c r="AG983" s="410">
        <f t="shared" ref="AG983" si="2899">AG982</f>
        <v>0</v>
      </c>
      <c r="AH983" s="410">
        <f t="shared" ref="AH983" si="2900">AH982</f>
        <v>0</v>
      </c>
      <c r="AI983" s="410">
        <f t="shared" ref="AI983" si="2901">AI982</f>
        <v>0</v>
      </c>
      <c r="AJ983" s="410">
        <f t="shared" ref="AJ983" si="2902">AJ982</f>
        <v>0</v>
      </c>
      <c r="AK983" s="410">
        <f t="shared" ref="AK983" si="2903">AK982</f>
        <v>0</v>
      </c>
      <c r="AL983" s="410">
        <f t="shared" ref="AL983" si="2904">AL982</f>
        <v>0</v>
      </c>
      <c r="AM983" s="297"/>
    </row>
    <row r="984" spans="1:39" ht="15" hidden="1" customHeight="1" outlineLevel="1">
      <c r="A984" s="527"/>
      <c r="B984" s="294"/>
      <c r="C984" s="305"/>
      <c r="D984" s="291"/>
      <c r="E984" s="291"/>
      <c r="F984" s="291"/>
      <c r="G984" s="291"/>
      <c r="H984" s="291"/>
      <c r="I984" s="291"/>
      <c r="J984" s="291"/>
      <c r="K984" s="291"/>
      <c r="L984" s="291"/>
      <c r="M984" s="291"/>
      <c r="N984" s="291"/>
      <c r="O984" s="291"/>
      <c r="P984" s="291"/>
      <c r="Q984" s="291"/>
      <c r="R984" s="291"/>
      <c r="S984" s="291"/>
      <c r="T984" s="291"/>
      <c r="U984" s="291"/>
      <c r="V984" s="291"/>
      <c r="W984" s="291"/>
      <c r="X984" s="291"/>
      <c r="Y984" s="411"/>
      <c r="Z984" s="411"/>
      <c r="AA984" s="411"/>
      <c r="AB984" s="411"/>
      <c r="AC984" s="411"/>
      <c r="AD984" s="411"/>
      <c r="AE984" s="411"/>
      <c r="AF984" s="411"/>
      <c r="AG984" s="411"/>
      <c r="AH984" s="411"/>
      <c r="AI984" s="411"/>
      <c r="AJ984" s="411"/>
      <c r="AK984" s="411"/>
      <c r="AL984" s="411"/>
      <c r="AM984" s="306"/>
    </row>
    <row r="985" spans="1:39" ht="15" hidden="1" customHeight="1" outlineLevel="1">
      <c r="A985" s="527">
        <v>4</v>
      </c>
      <c r="B985" s="515" t="s">
        <v>672</v>
      </c>
      <c r="C985" s="291" t="s">
        <v>25</v>
      </c>
      <c r="D985" s="295"/>
      <c r="E985" s="295"/>
      <c r="F985" s="295"/>
      <c r="G985" s="295"/>
      <c r="H985" s="295"/>
      <c r="I985" s="295"/>
      <c r="J985" s="295"/>
      <c r="K985" s="295"/>
      <c r="L985" s="295"/>
      <c r="M985" s="295"/>
      <c r="N985" s="291"/>
      <c r="O985" s="295"/>
      <c r="P985" s="295"/>
      <c r="Q985" s="295"/>
      <c r="R985" s="295"/>
      <c r="S985" s="295"/>
      <c r="T985" s="295"/>
      <c r="U985" s="295"/>
      <c r="V985" s="295"/>
      <c r="W985" s="295"/>
      <c r="X985" s="295"/>
      <c r="Y985" s="414"/>
      <c r="Z985" s="414"/>
      <c r="AA985" s="414"/>
      <c r="AB985" s="414"/>
      <c r="AC985" s="414"/>
      <c r="AD985" s="414"/>
      <c r="AE985" s="414"/>
      <c r="AF985" s="409"/>
      <c r="AG985" s="409"/>
      <c r="AH985" s="409"/>
      <c r="AI985" s="409"/>
      <c r="AJ985" s="409"/>
      <c r="AK985" s="409"/>
      <c r="AL985" s="409"/>
      <c r="AM985" s="296">
        <f>SUM(Y985:AL985)</f>
        <v>0</v>
      </c>
    </row>
    <row r="986" spans="1:39" ht="15" hidden="1" customHeight="1" outlineLevel="1">
      <c r="A986" s="527"/>
      <c r="B986" s="294" t="s">
        <v>346</v>
      </c>
      <c r="C986" s="291" t="s">
        <v>163</v>
      </c>
      <c r="D986" s="295"/>
      <c r="E986" s="295"/>
      <c r="F986" s="295"/>
      <c r="G986" s="295"/>
      <c r="H986" s="295"/>
      <c r="I986" s="295"/>
      <c r="J986" s="295"/>
      <c r="K986" s="295"/>
      <c r="L986" s="295"/>
      <c r="M986" s="295"/>
      <c r="N986" s="464"/>
      <c r="O986" s="295"/>
      <c r="P986" s="295"/>
      <c r="Q986" s="295"/>
      <c r="R986" s="295"/>
      <c r="S986" s="295"/>
      <c r="T986" s="295"/>
      <c r="U986" s="295"/>
      <c r="V986" s="295"/>
      <c r="W986" s="295"/>
      <c r="X986" s="295"/>
      <c r="Y986" s="410">
        <f>Y985</f>
        <v>0</v>
      </c>
      <c r="Z986" s="410">
        <f t="shared" ref="Z986" si="2905">Z985</f>
        <v>0</v>
      </c>
      <c r="AA986" s="410">
        <f t="shared" ref="AA986" si="2906">AA985</f>
        <v>0</v>
      </c>
      <c r="AB986" s="410">
        <f t="shared" ref="AB986" si="2907">AB985</f>
        <v>0</v>
      </c>
      <c r="AC986" s="410">
        <f t="shared" ref="AC986" si="2908">AC985</f>
        <v>0</v>
      </c>
      <c r="AD986" s="410">
        <f t="shared" ref="AD986" si="2909">AD985</f>
        <v>0</v>
      </c>
      <c r="AE986" s="410">
        <f t="shared" ref="AE986" si="2910">AE985</f>
        <v>0</v>
      </c>
      <c r="AF986" s="410">
        <f t="shared" ref="AF986" si="2911">AF985</f>
        <v>0</v>
      </c>
      <c r="AG986" s="410">
        <f t="shared" ref="AG986" si="2912">AG985</f>
        <v>0</v>
      </c>
      <c r="AH986" s="410">
        <f t="shared" ref="AH986" si="2913">AH985</f>
        <v>0</v>
      </c>
      <c r="AI986" s="410">
        <f t="shared" ref="AI986" si="2914">AI985</f>
        <v>0</v>
      </c>
      <c r="AJ986" s="410">
        <f t="shared" ref="AJ986" si="2915">AJ985</f>
        <v>0</v>
      </c>
      <c r="AK986" s="410">
        <f t="shared" ref="AK986" si="2916">AK985</f>
        <v>0</v>
      </c>
      <c r="AL986" s="410">
        <f t="shared" ref="AL986" si="2917">AL985</f>
        <v>0</v>
      </c>
      <c r="AM986" s="297"/>
    </row>
    <row r="987" spans="1:39" ht="15" hidden="1" customHeight="1" outlineLevel="1">
      <c r="A987" s="527"/>
      <c r="B987" s="294"/>
      <c r="C987" s="305"/>
      <c r="D987" s="304"/>
      <c r="E987" s="304"/>
      <c r="F987" s="304"/>
      <c r="G987" s="304"/>
      <c r="H987" s="304"/>
      <c r="I987" s="304"/>
      <c r="J987" s="304"/>
      <c r="K987" s="304"/>
      <c r="L987" s="304"/>
      <c r="M987" s="304"/>
      <c r="N987" s="291"/>
      <c r="O987" s="304"/>
      <c r="P987" s="304"/>
      <c r="Q987" s="304"/>
      <c r="R987" s="304"/>
      <c r="S987" s="304"/>
      <c r="T987" s="304"/>
      <c r="U987" s="304"/>
      <c r="V987" s="304"/>
      <c r="W987" s="304"/>
      <c r="X987" s="304"/>
      <c r="Y987" s="411"/>
      <c r="Z987" s="411"/>
      <c r="AA987" s="411"/>
      <c r="AB987" s="411"/>
      <c r="AC987" s="411"/>
      <c r="AD987" s="411"/>
      <c r="AE987" s="411"/>
      <c r="AF987" s="411"/>
      <c r="AG987" s="411"/>
      <c r="AH987" s="411"/>
      <c r="AI987" s="411"/>
      <c r="AJ987" s="411"/>
      <c r="AK987" s="411"/>
      <c r="AL987" s="411"/>
      <c r="AM987" s="306"/>
    </row>
    <row r="988" spans="1:39" ht="15" hidden="1" customHeight="1" outlineLevel="1">
      <c r="A988" s="527">
        <v>5</v>
      </c>
      <c r="B988" s="425" t="s">
        <v>98</v>
      </c>
      <c r="C988" s="291" t="s">
        <v>25</v>
      </c>
      <c r="D988" s="295"/>
      <c r="E988" s="295"/>
      <c r="F988" s="295"/>
      <c r="G988" s="295"/>
      <c r="H988" s="295"/>
      <c r="I988" s="295"/>
      <c r="J988" s="295"/>
      <c r="K988" s="295"/>
      <c r="L988" s="295"/>
      <c r="M988" s="295"/>
      <c r="N988" s="291"/>
      <c r="O988" s="295"/>
      <c r="P988" s="295"/>
      <c r="Q988" s="295"/>
      <c r="R988" s="295"/>
      <c r="S988" s="295"/>
      <c r="T988" s="295"/>
      <c r="U988" s="295"/>
      <c r="V988" s="295"/>
      <c r="W988" s="295"/>
      <c r="X988" s="295"/>
      <c r="Y988" s="414"/>
      <c r="Z988" s="414"/>
      <c r="AA988" s="414"/>
      <c r="AB988" s="414"/>
      <c r="AC988" s="414"/>
      <c r="AD988" s="414"/>
      <c r="AE988" s="414"/>
      <c r="AF988" s="409"/>
      <c r="AG988" s="409"/>
      <c r="AH988" s="409"/>
      <c r="AI988" s="409"/>
      <c r="AJ988" s="409"/>
      <c r="AK988" s="409"/>
      <c r="AL988" s="409"/>
      <c r="AM988" s="296">
        <f>SUM(Y988:AL988)</f>
        <v>0</v>
      </c>
    </row>
    <row r="989" spans="1:39" ht="15" hidden="1" customHeight="1" outlineLevel="1">
      <c r="A989" s="527"/>
      <c r="B989" s="294" t="s">
        <v>346</v>
      </c>
      <c r="C989" s="291" t="s">
        <v>163</v>
      </c>
      <c r="D989" s="295"/>
      <c r="E989" s="295"/>
      <c r="F989" s="295"/>
      <c r="G989" s="295"/>
      <c r="H989" s="295"/>
      <c r="I989" s="295"/>
      <c r="J989" s="295"/>
      <c r="K989" s="295"/>
      <c r="L989" s="295"/>
      <c r="M989" s="295"/>
      <c r="N989" s="464"/>
      <c r="O989" s="295"/>
      <c r="P989" s="295"/>
      <c r="Q989" s="295"/>
      <c r="R989" s="295"/>
      <c r="S989" s="295"/>
      <c r="T989" s="295"/>
      <c r="U989" s="295"/>
      <c r="V989" s="295"/>
      <c r="W989" s="295"/>
      <c r="X989" s="295"/>
      <c r="Y989" s="410">
        <f>Y988</f>
        <v>0</v>
      </c>
      <c r="Z989" s="410">
        <f t="shared" ref="Z989" si="2918">Z988</f>
        <v>0</v>
      </c>
      <c r="AA989" s="410">
        <f t="shared" ref="AA989" si="2919">AA988</f>
        <v>0</v>
      </c>
      <c r="AB989" s="410">
        <f t="shared" ref="AB989" si="2920">AB988</f>
        <v>0</v>
      </c>
      <c r="AC989" s="410">
        <f t="shared" ref="AC989" si="2921">AC988</f>
        <v>0</v>
      </c>
      <c r="AD989" s="410">
        <f t="shared" ref="AD989" si="2922">AD988</f>
        <v>0</v>
      </c>
      <c r="AE989" s="410">
        <f t="shared" ref="AE989" si="2923">AE988</f>
        <v>0</v>
      </c>
      <c r="AF989" s="410">
        <f t="shared" ref="AF989" si="2924">AF988</f>
        <v>0</v>
      </c>
      <c r="AG989" s="410">
        <f t="shared" ref="AG989" si="2925">AG988</f>
        <v>0</v>
      </c>
      <c r="AH989" s="410">
        <f t="shared" ref="AH989" si="2926">AH988</f>
        <v>0</v>
      </c>
      <c r="AI989" s="410">
        <f t="shared" ref="AI989" si="2927">AI988</f>
        <v>0</v>
      </c>
      <c r="AJ989" s="410">
        <f t="shared" ref="AJ989" si="2928">AJ988</f>
        <v>0</v>
      </c>
      <c r="AK989" s="410">
        <f t="shared" ref="AK989" si="2929">AK988</f>
        <v>0</v>
      </c>
      <c r="AL989" s="410">
        <f t="shared" ref="AL989" si="2930">AL988</f>
        <v>0</v>
      </c>
      <c r="AM989" s="297"/>
    </row>
    <row r="990" spans="1:39" ht="15" hidden="1" customHeight="1" outlineLevel="1">
      <c r="A990" s="527"/>
      <c r="B990" s="294"/>
      <c r="C990" s="291"/>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9"/>
      <c r="Z990" s="420"/>
      <c r="AA990" s="420"/>
      <c r="AB990" s="420"/>
      <c r="AC990" s="420"/>
      <c r="AD990" s="420"/>
      <c r="AE990" s="420"/>
      <c r="AF990" s="420"/>
      <c r="AG990" s="420"/>
      <c r="AH990" s="420"/>
      <c r="AI990" s="420"/>
      <c r="AJ990" s="420"/>
      <c r="AK990" s="420"/>
      <c r="AL990" s="420"/>
      <c r="AM990" s="297"/>
    </row>
    <row r="991" spans="1:39" ht="31.5" hidden="1" outlineLevel="1">
      <c r="A991" s="527"/>
      <c r="B991" s="318" t="s">
        <v>498</v>
      </c>
      <c r="C991" s="289"/>
      <c r="D991" s="289"/>
      <c r="E991" s="289"/>
      <c r="F991" s="289"/>
      <c r="G991" s="289"/>
      <c r="H991" s="289"/>
      <c r="I991" s="289"/>
      <c r="J991" s="289"/>
      <c r="K991" s="289"/>
      <c r="L991" s="289"/>
      <c r="M991" s="289"/>
      <c r="N991" s="290"/>
      <c r="O991" s="289"/>
      <c r="P991" s="289"/>
      <c r="Q991" s="289"/>
      <c r="R991" s="289"/>
      <c r="S991" s="289"/>
      <c r="T991" s="289"/>
      <c r="U991" s="289"/>
      <c r="V991" s="289"/>
      <c r="W991" s="289"/>
      <c r="X991" s="289"/>
      <c r="Y991" s="413"/>
      <c r="Z991" s="413"/>
      <c r="AA991" s="413"/>
      <c r="AB991" s="413"/>
      <c r="AC991" s="413"/>
      <c r="AD991" s="413"/>
      <c r="AE991" s="413"/>
      <c r="AF991" s="413"/>
      <c r="AG991" s="413"/>
      <c r="AH991" s="413"/>
      <c r="AI991" s="413"/>
      <c r="AJ991" s="413"/>
      <c r="AK991" s="413"/>
      <c r="AL991" s="413"/>
      <c r="AM991" s="292"/>
    </row>
    <row r="992" spans="1:39" ht="15" hidden="1" customHeight="1" outlineLevel="1">
      <c r="A992" s="527">
        <v>6</v>
      </c>
      <c r="B992" s="425" t="s">
        <v>99</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4"/>
      <c r="Z992" s="414"/>
      <c r="AA992" s="414"/>
      <c r="AB992" s="414"/>
      <c r="AC992" s="414"/>
      <c r="AD992" s="414"/>
      <c r="AE992" s="414"/>
      <c r="AF992" s="414"/>
      <c r="AG992" s="414"/>
      <c r="AH992" s="414"/>
      <c r="AI992" s="414"/>
      <c r="AJ992" s="414"/>
      <c r="AK992" s="414"/>
      <c r="AL992" s="414"/>
      <c r="AM992" s="296">
        <f>SUM(Y992:AL992)</f>
        <v>0</v>
      </c>
    </row>
    <row r="993" spans="1:39" ht="15" hidden="1" customHeight="1" outlineLevel="1">
      <c r="A993" s="527"/>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0">
        <f>Y992</f>
        <v>0</v>
      </c>
      <c r="Z993" s="410">
        <f t="shared" ref="Z993" si="2931">Z992</f>
        <v>0</v>
      </c>
      <c r="AA993" s="410">
        <f t="shared" ref="AA993" si="2932">AA992</f>
        <v>0</v>
      </c>
      <c r="AB993" s="410">
        <f t="shared" ref="AB993" si="2933">AB992</f>
        <v>0</v>
      </c>
      <c r="AC993" s="410">
        <f t="shared" ref="AC993" si="2934">AC992</f>
        <v>0</v>
      </c>
      <c r="AD993" s="410">
        <f t="shared" ref="AD993" si="2935">AD992</f>
        <v>0</v>
      </c>
      <c r="AE993" s="410">
        <f t="shared" ref="AE993" si="2936">AE992</f>
        <v>0</v>
      </c>
      <c r="AF993" s="410">
        <f t="shared" ref="AF993" si="2937">AF992</f>
        <v>0</v>
      </c>
      <c r="AG993" s="410">
        <f t="shared" ref="AG993" si="2938">AG992</f>
        <v>0</v>
      </c>
      <c r="AH993" s="410">
        <f t="shared" ref="AH993" si="2939">AH992</f>
        <v>0</v>
      </c>
      <c r="AI993" s="410">
        <f t="shared" ref="AI993" si="2940">AI992</f>
        <v>0</v>
      </c>
      <c r="AJ993" s="410">
        <f t="shared" ref="AJ993" si="2941">AJ992</f>
        <v>0</v>
      </c>
      <c r="AK993" s="410">
        <f t="shared" ref="AK993" si="2942">AK992</f>
        <v>0</v>
      </c>
      <c r="AL993" s="410">
        <f t="shared" ref="AL993" si="2943">AL992</f>
        <v>0</v>
      </c>
      <c r="AM993" s="311"/>
    </row>
    <row r="994" spans="1:39" ht="15" hidden="1" customHeight="1" outlineLevel="1">
      <c r="A994" s="527"/>
      <c r="B994" s="310"/>
      <c r="C994" s="312"/>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15"/>
      <c r="Z994" s="415"/>
      <c r="AA994" s="415"/>
      <c r="AB994" s="415"/>
      <c r="AC994" s="415"/>
      <c r="AD994" s="415"/>
      <c r="AE994" s="415"/>
      <c r="AF994" s="415"/>
      <c r="AG994" s="415"/>
      <c r="AH994" s="415"/>
      <c r="AI994" s="415"/>
      <c r="AJ994" s="415"/>
      <c r="AK994" s="415"/>
      <c r="AL994" s="415"/>
      <c r="AM994" s="313"/>
    </row>
    <row r="995" spans="1:39" ht="15" hidden="1" customHeight="1" outlineLevel="1">
      <c r="A995" s="527">
        <v>7</v>
      </c>
      <c r="B995" s="425" t="s">
        <v>100</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4"/>
      <c r="Z995" s="414"/>
      <c r="AA995" s="414"/>
      <c r="AB995" s="414"/>
      <c r="AC995" s="414"/>
      <c r="AD995" s="414"/>
      <c r="AE995" s="414"/>
      <c r="AF995" s="414"/>
      <c r="AG995" s="414"/>
      <c r="AH995" s="414"/>
      <c r="AI995" s="414"/>
      <c r="AJ995" s="414"/>
      <c r="AK995" s="414"/>
      <c r="AL995" s="414"/>
      <c r="AM995" s="296">
        <f>SUM(Y995:AL995)</f>
        <v>0</v>
      </c>
    </row>
    <row r="996" spans="1:39" ht="15" hidden="1" customHeight="1" outlineLevel="1">
      <c r="A996" s="527"/>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0">
        <f>Y995</f>
        <v>0</v>
      </c>
      <c r="Z996" s="410">
        <f t="shared" ref="Z996" si="2944">Z995</f>
        <v>0</v>
      </c>
      <c r="AA996" s="410">
        <f t="shared" ref="AA996" si="2945">AA995</f>
        <v>0</v>
      </c>
      <c r="AB996" s="410">
        <f t="shared" ref="AB996" si="2946">AB995</f>
        <v>0</v>
      </c>
      <c r="AC996" s="410">
        <f t="shared" ref="AC996" si="2947">AC995</f>
        <v>0</v>
      </c>
      <c r="AD996" s="410">
        <f t="shared" ref="AD996" si="2948">AD995</f>
        <v>0</v>
      </c>
      <c r="AE996" s="410">
        <f t="shared" ref="AE996" si="2949">AE995</f>
        <v>0</v>
      </c>
      <c r="AF996" s="410">
        <f t="shared" ref="AF996" si="2950">AF995</f>
        <v>0</v>
      </c>
      <c r="AG996" s="410">
        <f t="shared" ref="AG996" si="2951">AG995</f>
        <v>0</v>
      </c>
      <c r="AH996" s="410">
        <f t="shared" ref="AH996" si="2952">AH995</f>
        <v>0</v>
      </c>
      <c r="AI996" s="410">
        <f t="shared" ref="AI996" si="2953">AI995</f>
        <v>0</v>
      </c>
      <c r="AJ996" s="410">
        <f t="shared" ref="AJ996" si="2954">AJ995</f>
        <v>0</v>
      </c>
      <c r="AK996" s="410">
        <f t="shared" ref="AK996" si="2955">AK995</f>
        <v>0</v>
      </c>
      <c r="AL996" s="410">
        <f t="shared" ref="AL996" si="2956">AL995</f>
        <v>0</v>
      </c>
      <c r="AM996" s="311"/>
    </row>
    <row r="997" spans="1:39" ht="15" hidden="1" customHeight="1" outlineLevel="1">
      <c r="A997" s="527"/>
      <c r="B997" s="314"/>
      <c r="C997" s="312"/>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15"/>
      <c r="Z997" s="416"/>
      <c r="AA997" s="415"/>
      <c r="AB997" s="415"/>
      <c r="AC997" s="415"/>
      <c r="AD997" s="415"/>
      <c r="AE997" s="415"/>
      <c r="AF997" s="415"/>
      <c r="AG997" s="415"/>
      <c r="AH997" s="415"/>
      <c r="AI997" s="415"/>
      <c r="AJ997" s="415"/>
      <c r="AK997" s="415"/>
      <c r="AL997" s="415"/>
      <c r="AM997" s="313"/>
    </row>
    <row r="998" spans="1:39" ht="15" hidden="1" customHeight="1" outlineLevel="1">
      <c r="A998" s="527">
        <v>8</v>
      </c>
      <c r="B998" s="425" t="s">
        <v>101</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4"/>
      <c r="Z998" s="414"/>
      <c r="AA998" s="414"/>
      <c r="AB998" s="414"/>
      <c r="AC998" s="414"/>
      <c r="AD998" s="414"/>
      <c r="AE998" s="414"/>
      <c r="AF998" s="414"/>
      <c r="AG998" s="414"/>
      <c r="AH998" s="414"/>
      <c r="AI998" s="414"/>
      <c r="AJ998" s="414"/>
      <c r="AK998" s="414"/>
      <c r="AL998" s="414"/>
      <c r="AM998" s="296">
        <f>SUM(Y998:AL998)</f>
        <v>0</v>
      </c>
    </row>
    <row r="999" spans="1:39" ht="15" hidden="1" customHeight="1" outlineLevel="1">
      <c r="A999" s="527"/>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0">
        <f>Y998</f>
        <v>0</v>
      </c>
      <c r="Z999" s="410">
        <f t="shared" ref="Z999" si="2957">Z998</f>
        <v>0</v>
      </c>
      <c r="AA999" s="410">
        <f t="shared" ref="AA999" si="2958">AA998</f>
        <v>0</v>
      </c>
      <c r="AB999" s="410">
        <f t="shared" ref="AB999" si="2959">AB998</f>
        <v>0</v>
      </c>
      <c r="AC999" s="410">
        <f t="shared" ref="AC999" si="2960">AC998</f>
        <v>0</v>
      </c>
      <c r="AD999" s="410">
        <f t="shared" ref="AD999" si="2961">AD998</f>
        <v>0</v>
      </c>
      <c r="AE999" s="410">
        <f t="shared" ref="AE999" si="2962">AE998</f>
        <v>0</v>
      </c>
      <c r="AF999" s="410">
        <f t="shared" ref="AF999" si="2963">AF998</f>
        <v>0</v>
      </c>
      <c r="AG999" s="410">
        <f t="shared" ref="AG999" si="2964">AG998</f>
        <v>0</v>
      </c>
      <c r="AH999" s="410">
        <f t="shared" ref="AH999" si="2965">AH998</f>
        <v>0</v>
      </c>
      <c r="AI999" s="410">
        <f t="shared" ref="AI999" si="2966">AI998</f>
        <v>0</v>
      </c>
      <c r="AJ999" s="410">
        <f t="shared" ref="AJ999" si="2967">AJ998</f>
        <v>0</v>
      </c>
      <c r="AK999" s="410">
        <f t="shared" ref="AK999" si="2968">AK998</f>
        <v>0</v>
      </c>
      <c r="AL999" s="410">
        <f t="shared" ref="AL999" si="2969">AL998</f>
        <v>0</v>
      </c>
      <c r="AM999" s="311"/>
    </row>
    <row r="1000" spans="1:39" ht="15" hidden="1" customHeight="1" outlineLevel="1">
      <c r="A1000" s="527"/>
      <c r="B1000" s="314"/>
      <c r="C1000" s="312"/>
      <c r="D1000" s="316"/>
      <c r="E1000" s="316"/>
      <c r="F1000" s="316"/>
      <c r="G1000" s="316"/>
      <c r="H1000" s="316"/>
      <c r="I1000" s="316"/>
      <c r="J1000" s="316"/>
      <c r="K1000" s="316"/>
      <c r="L1000" s="316"/>
      <c r="M1000" s="316"/>
      <c r="N1000" s="291"/>
      <c r="O1000" s="316"/>
      <c r="P1000" s="316"/>
      <c r="Q1000" s="316"/>
      <c r="R1000" s="316"/>
      <c r="S1000" s="316"/>
      <c r="T1000" s="316"/>
      <c r="U1000" s="316"/>
      <c r="V1000" s="316"/>
      <c r="W1000" s="316"/>
      <c r="X1000" s="316"/>
      <c r="Y1000" s="415"/>
      <c r="Z1000" s="416"/>
      <c r="AA1000" s="415"/>
      <c r="AB1000" s="415"/>
      <c r="AC1000" s="415"/>
      <c r="AD1000" s="415"/>
      <c r="AE1000" s="415"/>
      <c r="AF1000" s="415"/>
      <c r="AG1000" s="415"/>
      <c r="AH1000" s="415"/>
      <c r="AI1000" s="415"/>
      <c r="AJ1000" s="415"/>
      <c r="AK1000" s="415"/>
      <c r="AL1000" s="415"/>
      <c r="AM1000" s="313"/>
    </row>
    <row r="1001" spans="1:39" ht="15" hidden="1" customHeight="1" outlineLevel="1">
      <c r="A1001" s="527">
        <v>9</v>
      </c>
      <c r="B1001" s="425" t="s">
        <v>102</v>
      </c>
      <c r="C1001" s="291" t="s">
        <v>25</v>
      </c>
      <c r="D1001" s="295"/>
      <c r="E1001" s="295"/>
      <c r="F1001" s="295"/>
      <c r="G1001" s="295"/>
      <c r="H1001" s="295"/>
      <c r="I1001" s="295"/>
      <c r="J1001" s="295"/>
      <c r="K1001" s="295"/>
      <c r="L1001" s="295"/>
      <c r="M1001" s="295"/>
      <c r="N1001" s="295">
        <v>12</v>
      </c>
      <c r="O1001" s="295"/>
      <c r="P1001" s="295"/>
      <c r="Q1001" s="295"/>
      <c r="R1001" s="295"/>
      <c r="S1001" s="295"/>
      <c r="T1001" s="295"/>
      <c r="U1001" s="295"/>
      <c r="V1001" s="295"/>
      <c r="W1001" s="295"/>
      <c r="X1001" s="295"/>
      <c r="Y1001" s="414"/>
      <c r="Z1001" s="414"/>
      <c r="AA1001" s="414"/>
      <c r="AB1001" s="414"/>
      <c r="AC1001" s="414"/>
      <c r="AD1001" s="414"/>
      <c r="AE1001" s="414"/>
      <c r="AF1001" s="414"/>
      <c r="AG1001" s="414"/>
      <c r="AH1001" s="414"/>
      <c r="AI1001" s="414"/>
      <c r="AJ1001" s="414"/>
      <c r="AK1001" s="414"/>
      <c r="AL1001" s="414"/>
      <c r="AM1001" s="296">
        <f>SUM(Y1001:AL1001)</f>
        <v>0</v>
      </c>
    </row>
    <row r="1002" spans="1:39" ht="15" hidden="1" customHeight="1" outlineLevel="1">
      <c r="A1002" s="527"/>
      <c r="B1002" s="294" t="s">
        <v>346</v>
      </c>
      <c r="C1002" s="291" t="s">
        <v>163</v>
      </c>
      <c r="D1002" s="295"/>
      <c r="E1002" s="295"/>
      <c r="F1002" s="295"/>
      <c r="G1002" s="295"/>
      <c r="H1002" s="295"/>
      <c r="I1002" s="295"/>
      <c r="J1002" s="295"/>
      <c r="K1002" s="295"/>
      <c r="L1002" s="295"/>
      <c r="M1002" s="295"/>
      <c r="N1002" s="295">
        <f>N1001</f>
        <v>12</v>
      </c>
      <c r="O1002" s="295"/>
      <c r="P1002" s="295"/>
      <c r="Q1002" s="295"/>
      <c r="R1002" s="295"/>
      <c r="S1002" s="295"/>
      <c r="T1002" s="295"/>
      <c r="U1002" s="295"/>
      <c r="V1002" s="295"/>
      <c r="W1002" s="295"/>
      <c r="X1002" s="295"/>
      <c r="Y1002" s="410">
        <f>Y1001</f>
        <v>0</v>
      </c>
      <c r="Z1002" s="410">
        <f t="shared" ref="Z1002" si="2970">Z1001</f>
        <v>0</v>
      </c>
      <c r="AA1002" s="410">
        <f t="shared" ref="AA1002" si="2971">AA1001</f>
        <v>0</v>
      </c>
      <c r="AB1002" s="410">
        <f t="shared" ref="AB1002" si="2972">AB1001</f>
        <v>0</v>
      </c>
      <c r="AC1002" s="410">
        <f t="shared" ref="AC1002" si="2973">AC1001</f>
        <v>0</v>
      </c>
      <c r="AD1002" s="410">
        <f t="shared" ref="AD1002" si="2974">AD1001</f>
        <v>0</v>
      </c>
      <c r="AE1002" s="410">
        <f t="shared" ref="AE1002" si="2975">AE1001</f>
        <v>0</v>
      </c>
      <c r="AF1002" s="410">
        <f t="shared" ref="AF1002" si="2976">AF1001</f>
        <v>0</v>
      </c>
      <c r="AG1002" s="410">
        <f t="shared" ref="AG1002" si="2977">AG1001</f>
        <v>0</v>
      </c>
      <c r="AH1002" s="410">
        <f t="shared" ref="AH1002" si="2978">AH1001</f>
        <v>0</v>
      </c>
      <c r="AI1002" s="410">
        <f t="shared" ref="AI1002" si="2979">AI1001</f>
        <v>0</v>
      </c>
      <c r="AJ1002" s="410">
        <f t="shared" ref="AJ1002" si="2980">AJ1001</f>
        <v>0</v>
      </c>
      <c r="AK1002" s="410">
        <f t="shared" ref="AK1002" si="2981">AK1001</f>
        <v>0</v>
      </c>
      <c r="AL1002" s="410">
        <f t="shared" ref="AL1002" si="2982">AL1001</f>
        <v>0</v>
      </c>
      <c r="AM1002" s="311"/>
    </row>
    <row r="1003" spans="1:39" ht="15" hidden="1" customHeight="1" outlineLevel="1">
      <c r="A1003" s="527"/>
      <c r="B1003" s="314"/>
      <c r="C1003" s="312"/>
      <c r="D1003" s="316"/>
      <c r="E1003" s="316"/>
      <c r="F1003" s="316"/>
      <c r="G1003" s="316"/>
      <c r="H1003" s="316"/>
      <c r="I1003" s="316"/>
      <c r="J1003" s="316"/>
      <c r="K1003" s="316"/>
      <c r="L1003" s="316"/>
      <c r="M1003" s="316"/>
      <c r="N1003" s="291"/>
      <c r="O1003" s="316"/>
      <c r="P1003" s="316"/>
      <c r="Q1003" s="316"/>
      <c r="R1003" s="316"/>
      <c r="S1003" s="316"/>
      <c r="T1003" s="316"/>
      <c r="U1003" s="316"/>
      <c r="V1003" s="316"/>
      <c r="W1003" s="316"/>
      <c r="X1003" s="316"/>
      <c r="Y1003" s="415"/>
      <c r="Z1003" s="415"/>
      <c r="AA1003" s="415"/>
      <c r="AB1003" s="415"/>
      <c r="AC1003" s="415"/>
      <c r="AD1003" s="415"/>
      <c r="AE1003" s="415"/>
      <c r="AF1003" s="415"/>
      <c r="AG1003" s="415"/>
      <c r="AH1003" s="415"/>
      <c r="AI1003" s="415"/>
      <c r="AJ1003" s="415"/>
      <c r="AK1003" s="415"/>
      <c r="AL1003" s="415"/>
      <c r="AM1003" s="313"/>
    </row>
    <row r="1004" spans="1:39" ht="15" hidden="1" customHeight="1" outlineLevel="1">
      <c r="A1004" s="527">
        <v>10</v>
      </c>
      <c r="B1004" s="425" t="s">
        <v>103</v>
      </c>
      <c r="C1004" s="291" t="s">
        <v>25</v>
      </c>
      <c r="D1004" s="295"/>
      <c r="E1004" s="295"/>
      <c r="F1004" s="295"/>
      <c r="G1004" s="295"/>
      <c r="H1004" s="295"/>
      <c r="I1004" s="295"/>
      <c r="J1004" s="295"/>
      <c r="K1004" s="295"/>
      <c r="L1004" s="295"/>
      <c r="M1004" s="295"/>
      <c r="N1004" s="295">
        <v>3</v>
      </c>
      <c r="O1004" s="295"/>
      <c r="P1004" s="295"/>
      <c r="Q1004" s="295"/>
      <c r="R1004" s="295"/>
      <c r="S1004" s="295"/>
      <c r="T1004" s="295"/>
      <c r="U1004" s="295"/>
      <c r="V1004" s="295"/>
      <c r="W1004" s="295"/>
      <c r="X1004" s="295"/>
      <c r="Y1004" s="414"/>
      <c r="Z1004" s="414"/>
      <c r="AA1004" s="414"/>
      <c r="AB1004" s="414"/>
      <c r="AC1004" s="414"/>
      <c r="AD1004" s="414"/>
      <c r="AE1004" s="414"/>
      <c r="AF1004" s="414"/>
      <c r="AG1004" s="414"/>
      <c r="AH1004" s="414"/>
      <c r="AI1004" s="414"/>
      <c r="AJ1004" s="414"/>
      <c r="AK1004" s="414"/>
      <c r="AL1004" s="414"/>
      <c r="AM1004" s="296">
        <f>SUM(Y1004:AL1004)</f>
        <v>0</v>
      </c>
    </row>
    <row r="1005" spans="1:39" ht="15" hidden="1" customHeight="1" outlineLevel="1">
      <c r="A1005" s="527"/>
      <c r="B1005" s="294" t="s">
        <v>346</v>
      </c>
      <c r="C1005" s="291" t="s">
        <v>163</v>
      </c>
      <c r="D1005" s="295"/>
      <c r="E1005" s="295"/>
      <c r="F1005" s="295"/>
      <c r="G1005" s="295"/>
      <c r="H1005" s="295"/>
      <c r="I1005" s="295"/>
      <c r="J1005" s="295"/>
      <c r="K1005" s="295"/>
      <c r="L1005" s="295"/>
      <c r="M1005" s="295"/>
      <c r="N1005" s="295">
        <f>N1004</f>
        <v>3</v>
      </c>
      <c r="O1005" s="295"/>
      <c r="P1005" s="295"/>
      <c r="Q1005" s="295"/>
      <c r="R1005" s="295"/>
      <c r="S1005" s="295"/>
      <c r="T1005" s="295"/>
      <c r="U1005" s="295"/>
      <c r="V1005" s="295"/>
      <c r="W1005" s="295"/>
      <c r="X1005" s="295"/>
      <c r="Y1005" s="410">
        <f>Y1004</f>
        <v>0</v>
      </c>
      <c r="Z1005" s="410">
        <f t="shared" ref="Z1005" si="2983">Z1004</f>
        <v>0</v>
      </c>
      <c r="AA1005" s="410">
        <f t="shared" ref="AA1005" si="2984">AA1004</f>
        <v>0</v>
      </c>
      <c r="AB1005" s="410">
        <f t="shared" ref="AB1005" si="2985">AB1004</f>
        <v>0</v>
      </c>
      <c r="AC1005" s="410">
        <f t="shared" ref="AC1005" si="2986">AC1004</f>
        <v>0</v>
      </c>
      <c r="AD1005" s="410">
        <f t="shared" ref="AD1005" si="2987">AD1004</f>
        <v>0</v>
      </c>
      <c r="AE1005" s="410">
        <f t="shared" ref="AE1005" si="2988">AE1004</f>
        <v>0</v>
      </c>
      <c r="AF1005" s="410">
        <f t="shared" ref="AF1005" si="2989">AF1004</f>
        <v>0</v>
      </c>
      <c r="AG1005" s="410">
        <f t="shared" ref="AG1005" si="2990">AG1004</f>
        <v>0</v>
      </c>
      <c r="AH1005" s="410">
        <f t="shared" ref="AH1005" si="2991">AH1004</f>
        <v>0</v>
      </c>
      <c r="AI1005" s="410">
        <f t="shared" ref="AI1005" si="2992">AI1004</f>
        <v>0</v>
      </c>
      <c r="AJ1005" s="410">
        <f t="shared" ref="AJ1005" si="2993">AJ1004</f>
        <v>0</v>
      </c>
      <c r="AK1005" s="410">
        <f t="shared" ref="AK1005" si="2994">AK1004</f>
        <v>0</v>
      </c>
      <c r="AL1005" s="410">
        <f t="shared" ref="AL1005" si="2995">AL1004</f>
        <v>0</v>
      </c>
      <c r="AM1005" s="311"/>
    </row>
    <row r="1006" spans="1:39" ht="15" hidden="1" customHeight="1" outlineLevel="1">
      <c r="A1006" s="527"/>
      <c r="B1006" s="314"/>
      <c r="C1006" s="312"/>
      <c r="D1006" s="316"/>
      <c r="E1006" s="316"/>
      <c r="F1006" s="316"/>
      <c r="G1006" s="316"/>
      <c r="H1006" s="316"/>
      <c r="I1006" s="316"/>
      <c r="J1006" s="316"/>
      <c r="K1006" s="316"/>
      <c r="L1006" s="316"/>
      <c r="M1006" s="316"/>
      <c r="N1006" s="291"/>
      <c r="O1006" s="316"/>
      <c r="P1006" s="316"/>
      <c r="Q1006" s="316"/>
      <c r="R1006" s="316"/>
      <c r="S1006" s="316"/>
      <c r="T1006" s="316"/>
      <c r="U1006" s="316"/>
      <c r="V1006" s="316"/>
      <c r="W1006" s="316"/>
      <c r="X1006" s="316"/>
      <c r="Y1006" s="415"/>
      <c r="Z1006" s="416"/>
      <c r="AA1006" s="415"/>
      <c r="AB1006" s="415"/>
      <c r="AC1006" s="415"/>
      <c r="AD1006" s="415"/>
      <c r="AE1006" s="415"/>
      <c r="AF1006" s="415"/>
      <c r="AG1006" s="415"/>
      <c r="AH1006" s="415"/>
      <c r="AI1006" s="415"/>
      <c r="AJ1006" s="415"/>
      <c r="AK1006" s="415"/>
      <c r="AL1006" s="415"/>
      <c r="AM1006" s="313"/>
    </row>
    <row r="1007" spans="1:39" ht="15" hidden="1" customHeight="1" outlineLevel="1">
      <c r="A1007" s="527"/>
      <c r="B1007" s="288" t="s">
        <v>10</v>
      </c>
      <c r="C1007" s="289"/>
      <c r="D1007" s="289"/>
      <c r="E1007" s="289"/>
      <c r="F1007" s="289"/>
      <c r="G1007" s="289"/>
      <c r="H1007" s="289"/>
      <c r="I1007" s="289"/>
      <c r="J1007" s="289"/>
      <c r="K1007" s="289"/>
      <c r="L1007" s="289"/>
      <c r="M1007" s="289"/>
      <c r="N1007" s="290"/>
      <c r="O1007" s="289"/>
      <c r="P1007" s="289"/>
      <c r="Q1007" s="289"/>
      <c r="R1007" s="289"/>
      <c r="S1007" s="289"/>
      <c r="T1007" s="289"/>
      <c r="U1007" s="289"/>
      <c r="V1007" s="289"/>
      <c r="W1007" s="289"/>
      <c r="X1007" s="289"/>
      <c r="Y1007" s="413"/>
      <c r="Z1007" s="413"/>
      <c r="AA1007" s="413"/>
      <c r="AB1007" s="413"/>
      <c r="AC1007" s="413"/>
      <c r="AD1007" s="413"/>
      <c r="AE1007" s="413"/>
      <c r="AF1007" s="413"/>
      <c r="AG1007" s="413"/>
      <c r="AH1007" s="413"/>
      <c r="AI1007" s="413"/>
      <c r="AJ1007" s="413"/>
      <c r="AK1007" s="413"/>
      <c r="AL1007" s="413"/>
      <c r="AM1007" s="292"/>
    </row>
    <row r="1008" spans="1:39" ht="15" hidden="1" customHeight="1" outlineLevel="1">
      <c r="A1008" s="527">
        <v>11</v>
      </c>
      <c r="B1008" s="425" t="s">
        <v>104</v>
      </c>
      <c r="C1008" s="291" t="s">
        <v>25</v>
      </c>
      <c r="D1008" s="295"/>
      <c r="E1008" s="295"/>
      <c r="F1008" s="295"/>
      <c r="G1008" s="295"/>
      <c r="H1008" s="295"/>
      <c r="I1008" s="295"/>
      <c r="J1008" s="295"/>
      <c r="K1008" s="295"/>
      <c r="L1008" s="295"/>
      <c r="M1008" s="295"/>
      <c r="N1008" s="295">
        <v>12</v>
      </c>
      <c r="O1008" s="295"/>
      <c r="P1008" s="295"/>
      <c r="Q1008" s="295"/>
      <c r="R1008" s="295"/>
      <c r="S1008" s="295"/>
      <c r="T1008" s="295"/>
      <c r="U1008" s="295"/>
      <c r="V1008" s="295"/>
      <c r="W1008" s="295"/>
      <c r="X1008" s="295"/>
      <c r="Y1008" s="423"/>
      <c r="Z1008" s="414"/>
      <c r="AA1008" s="414"/>
      <c r="AB1008" s="414"/>
      <c r="AC1008" s="414"/>
      <c r="AD1008" s="414"/>
      <c r="AE1008" s="414"/>
      <c r="AF1008" s="414"/>
      <c r="AG1008" s="414"/>
      <c r="AH1008" s="414"/>
      <c r="AI1008" s="414"/>
      <c r="AJ1008" s="414"/>
      <c r="AK1008" s="414"/>
      <c r="AL1008" s="414"/>
      <c r="AM1008" s="296">
        <f>SUM(Y1008:AL1008)</f>
        <v>0</v>
      </c>
    </row>
    <row r="1009" spans="1:40" ht="15" hidden="1" customHeight="1" outlineLevel="1">
      <c r="A1009" s="527"/>
      <c r="B1009" s="294" t="s">
        <v>346</v>
      </c>
      <c r="C1009" s="291" t="s">
        <v>163</v>
      </c>
      <c r="D1009" s="295"/>
      <c r="E1009" s="295"/>
      <c r="F1009" s="295"/>
      <c r="G1009" s="295"/>
      <c r="H1009" s="295"/>
      <c r="I1009" s="295"/>
      <c r="J1009" s="295"/>
      <c r="K1009" s="295"/>
      <c r="L1009" s="295"/>
      <c r="M1009" s="295"/>
      <c r="N1009" s="295">
        <f>N1008</f>
        <v>12</v>
      </c>
      <c r="O1009" s="295"/>
      <c r="P1009" s="295"/>
      <c r="Q1009" s="295"/>
      <c r="R1009" s="295"/>
      <c r="S1009" s="295"/>
      <c r="T1009" s="295"/>
      <c r="U1009" s="295"/>
      <c r="V1009" s="295"/>
      <c r="W1009" s="295"/>
      <c r="X1009" s="295"/>
      <c r="Y1009" s="410">
        <f>Y1008</f>
        <v>0</v>
      </c>
      <c r="Z1009" s="410">
        <f t="shared" ref="Z1009" si="2996">Z1008</f>
        <v>0</v>
      </c>
      <c r="AA1009" s="410">
        <f t="shared" ref="AA1009" si="2997">AA1008</f>
        <v>0</v>
      </c>
      <c r="AB1009" s="410">
        <f t="shared" ref="AB1009" si="2998">AB1008</f>
        <v>0</v>
      </c>
      <c r="AC1009" s="410">
        <f t="shared" ref="AC1009" si="2999">AC1008</f>
        <v>0</v>
      </c>
      <c r="AD1009" s="410">
        <f t="shared" ref="AD1009" si="3000">AD1008</f>
        <v>0</v>
      </c>
      <c r="AE1009" s="410">
        <f t="shared" ref="AE1009" si="3001">AE1008</f>
        <v>0</v>
      </c>
      <c r="AF1009" s="410">
        <f t="shared" ref="AF1009" si="3002">AF1008</f>
        <v>0</v>
      </c>
      <c r="AG1009" s="410">
        <f t="shared" ref="AG1009" si="3003">AG1008</f>
        <v>0</v>
      </c>
      <c r="AH1009" s="410">
        <f t="shared" ref="AH1009" si="3004">AH1008</f>
        <v>0</v>
      </c>
      <c r="AI1009" s="410">
        <f t="shared" ref="AI1009" si="3005">AI1008</f>
        <v>0</v>
      </c>
      <c r="AJ1009" s="410">
        <f t="shared" ref="AJ1009" si="3006">AJ1008</f>
        <v>0</v>
      </c>
      <c r="AK1009" s="410">
        <f t="shared" ref="AK1009" si="3007">AK1008</f>
        <v>0</v>
      </c>
      <c r="AL1009" s="410">
        <f t="shared" ref="AL1009" si="3008">AL1008</f>
        <v>0</v>
      </c>
      <c r="AM1009" s="297"/>
    </row>
    <row r="1010" spans="1:40" ht="15" hidden="1" customHeight="1" outlineLevel="1">
      <c r="A1010" s="527"/>
      <c r="B1010" s="315"/>
      <c r="C1010" s="305"/>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1"/>
      <c r="Z1010" s="418"/>
      <c r="AA1010" s="418"/>
      <c r="AB1010" s="418"/>
      <c r="AC1010" s="418"/>
      <c r="AD1010" s="418"/>
      <c r="AE1010" s="418"/>
      <c r="AF1010" s="418"/>
      <c r="AG1010" s="418"/>
      <c r="AH1010" s="418"/>
      <c r="AI1010" s="418"/>
      <c r="AJ1010" s="418"/>
      <c r="AK1010" s="418"/>
      <c r="AL1010" s="418"/>
      <c r="AM1010" s="306"/>
    </row>
    <row r="1011" spans="1:40" ht="28.5" hidden="1" customHeight="1" outlineLevel="1">
      <c r="A1011" s="527">
        <v>12</v>
      </c>
      <c r="B1011" s="425" t="s">
        <v>105</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09"/>
      <c r="Z1011" s="414"/>
      <c r="AA1011" s="414"/>
      <c r="AB1011" s="414"/>
      <c r="AC1011" s="414"/>
      <c r="AD1011" s="414"/>
      <c r="AE1011" s="414"/>
      <c r="AF1011" s="414"/>
      <c r="AG1011" s="414"/>
      <c r="AH1011" s="414"/>
      <c r="AI1011" s="414"/>
      <c r="AJ1011" s="414"/>
      <c r="AK1011" s="414"/>
      <c r="AL1011" s="414"/>
      <c r="AM1011" s="296">
        <f>SUM(Y1011:AL1011)</f>
        <v>0</v>
      </c>
    </row>
    <row r="1012" spans="1:40" ht="15" hidden="1" customHeight="1" outlineLevel="1">
      <c r="A1012" s="527"/>
      <c r="B1012" s="294" t="s">
        <v>346</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0">
        <f>Y1011</f>
        <v>0</v>
      </c>
      <c r="Z1012" s="410">
        <f t="shared" ref="Z1012" si="3009">Z1011</f>
        <v>0</v>
      </c>
      <c r="AA1012" s="410">
        <f t="shared" ref="AA1012" si="3010">AA1011</f>
        <v>0</v>
      </c>
      <c r="AB1012" s="410">
        <f t="shared" ref="AB1012" si="3011">AB1011</f>
        <v>0</v>
      </c>
      <c r="AC1012" s="410">
        <f t="shared" ref="AC1012" si="3012">AC1011</f>
        <v>0</v>
      </c>
      <c r="AD1012" s="410">
        <f t="shared" ref="AD1012" si="3013">AD1011</f>
        <v>0</v>
      </c>
      <c r="AE1012" s="410">
        <f t="shared" ref="AE1012" si="3014">AE1011</f>
        <v>0</v>
      </c>
      <c r="AF1012" s="410">
        <f t="shared" ref="AF1012" si="3015">AF1011</f>
        <v>0</v>
      </c>
      <c r="AG1012" s="410">
        <f t="shared" ref="AG1012" si="3016">AG1011</f>
        <v>0</v>
      </c>
      <c r="AH1012" s="410">
        <f t="shared" ref="AH1012" si="3017">AH1011</f>
        <v>0</v>
      </c>
      <c r="AI1012" s="410">
        <f t="shared" ref="AI1012" si="3018">AI1011</f>
        <v>0</v>
      </c>
      <c r="AJ1012" s="410">
        <f t="shared" ref="AJ1012" si="3019">AJ1011</f>
        <v>0</v>
      </c>
      <c r="AK1012" s="410">
        <f t="shared" ref="AK1012" si="3020">AK1011</f>
        <v>0</v>
      </c>
      <c r="AL1012" s="410">
        <f t="shared" ref="AL1012" si="3021">AL1011</f>
        <v>0</v>
      </c>
      <c r="AM1012" s="297"/>
    </row>
    <row r="1013" spans="1:40" ht="15" hidden="1" customHeight="1" outlineLevel="1">
      <c r="A1013" s="527"/>
      <c r="B1013" s="315"/>
      <c r="C1013" s="305"/>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19"/>
      <c r="Z1013" s="419"/>
      <c r="AA1013" s="411"/>
      <c r="AB1013" s="411"/>
      <c r="AC1013" s="411"/>
      <c r="AD1013" s="411"/>
      <c r="AE1013" s="411"/>
      <c r="AF1013" s="411"/>
      <c r="AG1013" s="411"/>
      <c r="AH1013" s="411"/>
      <c r="AI1013" s="411"/>
      <c r="AJ1013" s="411"/>
      <c r="AK1013" s="411"/>
      <c r="AL1013" s="411"/>
      <c r="AM1013" s="306"/>
    </row>
    <row r="1014" spans="1:40" ht="15" hidden="1" customHeight="1" outlineLevel="1">
      <c r="A1014" s="527">
        <v>13</v>
      </c>
      <c r="B1014" s="425" t="s">
        <v>106</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09"/>
      <c r="Z1014" s="414"/>
      <c r="AA1014" s="414"/>
      <c r="AB1014" s="414"/>
      <c r="AC1014" s="414"/>
      <c r="AD1014" s="414"/>
      <c r="AE1014" s="414"/>
      <c r="AF1014" s="414"/>
      <c r="AG1014" s="414"/>
      <c r="AH1014" s="414"/>
      <c r="AI1014" s="414"/>
      <c r="AJ1014" s="414"/>
      <c r="AK1014" s="414"/>
      <c r="AL1014" s="414"/>
      <c r="AM1014" s="296">
        <f>SUM(Y1014:AL1014)</f>
        <v>0</v>
      </c>
    </row>
    <row r="1015" spans="1:40" ht="15" hidden="1" customHeight="1" outlineLevel="1">
      <c r="A1015" s="527"/>
      <c r="B1015" s="294" t="s">
        <v>346</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0">
        <f>Y1014</f>
        <v>0</v>
      </c>
      <c r="Z1015" s="410">
        <f t="shared" ref="Z1015" si="3022">Z1014</f>
        <v>0</v>
      </c>
      <c r="AA1015" s="410">
        <f t="shared" ref="AA1015" si="3023">AA1014</f>
        <v>0</v>
      </c>
      <c r="AB1015" s="410">
        <f t="shared" ref="AB1015" si="3024">AB1014</f>
        <v>0</v>
      </c>
      <c r="AC1015" s="410">
        <f t="shared" ref="AC1015" si="3025">AC1014</f>
        <v>0</v>
      </c>
      <c r="AD1015" s="410">
        <f t="shared" ref="AD1015" si="3026">AD1014</f>
        <v>0</v>
      </c>
      <c r="AE1015" s="410">
        <f t="shared" ref="AE1015" si="3027">AE1014</f>
        <v>0</v>
      </c>
      <c r="AF1015" s="410">
        <f t="shared" ref="AF1015" si="3028">AF1014</f>
        <v>0</v>
      </c>
      <c r="AG1015" s="410">
        <f t="shared" ref="AG1015" si="3029">AG1014</f>
        <v>0</v>
      </c>
      <c r="AH1015" s="410">
        <f t="shared" ref="AH1015" si="3030">AH1014</f>
        <v>0</v>
      </c>
      <c r="AI1015" s="410">
        <f t="shared" ref="AI1015" si="3031">AI1014</f>
        <v>0</v>
      </c>
      <c r="AJ1015" s="410">
        <f t="shared" ref="AJ1015" si="3032">AJ1014</f>
        <v>0</v>
      </c>
      <c r="AK1015" s="410">
        <f t="shared" ref="AK1015" si="3033">AK1014</f>
        <v>0</v>
      </c>
      <c r="AL1015" s="410">
        <f t="shared" ref="AL1015" si="3034">AL1014</f>
        <v>0</v>
      </c>
      <c r="AM1015" s="306"/>
    </row>
    <row r="1016" spans="1:40" ht="15" hidden="1" customHeight="1" outlineLevel="1">
      <c r="A1016" s="527"/>
      <c r="B1016" s="315"/>
      <c r="C1016" s="305"/>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11"/>
      <c r="Z1016" s="411"/>
      <c r="AA1016" s="411"/>
      <c r="AB1016" s="411"/>
      <c r="AC1016" s="411"/>
      <c r="AD1016" s="411"/>
      <c r="AE1016" s="411"/>
      <c r="AF1016" s="411"/>
      <c r="AG1016" s="411"/>
      <c r="AH1016" s="411"/>
      <c r="AI1016" s="411"/>
      <c r="AJ1016" s="411"/>
      <c r="AK1016" s="411"/>
      <c r="AL1016" s="411"/>
      <c r="AM1016" s="306"/>
    </row>
    <row r="1017" spans="1:40" ht="15" hidden="1" customHeight="1" outlineLevel="1">
      <c r="A1017" s="527"/>
      <c r="B1017" s="288" t="s">
        <v>107</v>
      </c>
      <c r="C1017" s="289"/>
      <c r="D1017" s="290"/>
      <c r="E1017" s="290"/>
      <c r="F1017" s="290"/>
      <c r="G1017" s="290"/>
      <c r="H1017" s="290"/>
      <c r="I1017" s="290"/>
      <c r="J1017" s="290"/>
      <c r="K1017" s="290"/>
      <c r="L1017" s="290"/>
      <c r="M1017" s="290"/>
      <c r="N1017" s="290"/>
      <c r="O1017" s="290"/>
      <c r="P1017" s="289"/>
      <c r="Q1017" s="289"/>
      <c r="R1017" s="289"/>
      <c r="S1017" s="289"/>
      <c r="T1017" s="289"/>
      <c r="U1017" s="289"/>
      <c r="V1017" s="289"/>
      <c r="W1017" s="289"/>
      <c r="X1017" s="289"/>
      <c r="Y1017" s="413"/>
      <c r="Z1017" s="413"/>
      <c r="AA1017" s="413"/>
      <c r="AB1017" s="413"/>
      <c r="AC1017" s="413"/>
      <c r="AD1017" s="413"/>
      <c r="AE1017" s="413"/>
      <c r="AF1017" s="413"/>
      <c r="AG1017" s="413"/>
      <c r="AH1017" s="413"/>
      <c r="AI1017" s="413"/>
      <c r="AJ1017" s="413"/>
      <c r="AK1017" s="413"/>
      <c r="AL1017" s="413"/>
      <c r="AM1017" s="292"/>
    </row>
    <row r="1018" spans="1:40" ht="15" hidden="1" customHeight="1" outlineLevel="1">
      <c r="A1018" s="527">
        <v>14</v>
      </c>
      <c r="B1018" s="315" t="s">
        <v>108</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09"/>
      <c r="Z1018" s="409"/>
      <c r="AA1018" s="409"/>
      <c r="AB1018" s="409"/>
      <c r="AC1018" s="409"/>
      <c r="AD1018" s="409"/>
      <c r="AE1018" s="409"/>
      <c r="AF1018" s="409"/>
      <c r="AG1018" s="409"/>
      <c r="AH1018" s="409"/>
      <c r="AI1018" s="409"/>
      <c r="AJ1018" s="409"/>
      <c r="AK1018" s="409"/>
      <c r="AL1018" s="409"/>
      <c r="AM1018" s="296">
        <f>SUM(Y1018:AL1018)</f>
        <v>0</v>
      </c>
    </row>
    <row r="1019" spans="1:40" ht="15" hidden="1" customHeight="1" outlineLevel="1">
      <c r="A1019" s="527"/>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0">
        <f>Y1018</f>
        <v>0</v>
      </c>
      <c r="Z1019" s="410">
        <f t="shared" ref="Z1019" si="3035">Z1018</f>
        <v>0</v>
      </c>
      <c r="AA1019" s="410">
        <f t="shared" ref="AA1019" si="3036">AA1018</f>
        <v>0</v>
      </c>
      <c r="AB1019" s="410">
        <f t="shared" ref="AB1019" si="3037">AB1018</f>
        <v>0</v>
      </c>
      <c r="AC1019" s="410">
        <f t="shared" ref="AC1019" si="3038">AC1018</f>
        <v>0</v>
      </c>
      <c r="AD1019" s="410">
        <f t="shared" ref="AD1019" si="3039">AD1018</f>
        <v>0</v>
      </c>
      <c r="AE1019" s="410">
        <f t="shared" ref="AE1019" si="3040">AE1018</f>
        <v>0</v>
      </c>
      <c r="AF1019" s="410">
        <f t="shared" ref="AF1019" si="3041">AF1018</f>
        <v>0</v>
      </c>
      <c r="AG1019" s="410">
        <f t="shared" ref="AG1019" si="3042">AG1018</f>
        <v>0</v>
      </c>
      <c r="AH1019" s="410">
        <f t="shared" ref="AH1019" si="3043">AH1018</f>
        <v>0</v>
      </c>
      <c r="AI1019" s="410">
        <f t="shared" ref="AI1019" si="3044">AI1018</f>
        <v>0</v>
      </c>
      <c r="AJ1019" s="410">
        <f t="shared" ref="AJ1019" si="3045">AJ1018</f>
        <v>0</v>
      </c>
      <c r="AK1019" s="410">
        <f t="shared" ref="AK1019" si="3046">AK1018</f>
        <v>0</v>
      </c>
      <c r="AL1019" s="410">
        <f t="shared" ref="AL1019" si="3047">AL1018</f>
        <v>0</v>
      </c>
      <c r="AM1019" s="297"/>
    </row>
    <row r="1020" spans="1:40" ht="15" hidden="1" customHeight="1" outlineLevel="1">
      <c r="A1020" s="527"/>
      <c r="B1020" s="315"/>
      <c r="C1020" s="305"/>
      <c r="D1020" s="291"/>
      <c r="E1020" s="291"/>
      <c r="F1020" s="291"/>
      <c r="G1020" s="291"/>
      <c r="H1020" s="291"/>
      <c r="I1020" s="291"/>
      <c r="J1020" s="291"/>
      <c r="K1020" s="291"/>
      <c r="L1020" s="291"/>
      <c r="M1020" s="291"/>
      <c r="N1020" s="464"/>
      <c r="O1020" s="291"/>
      <c r="P1020" s="291"/>
      <c r="Q1020" s="291"/>
      <c r="R1020" s="291"/>
      <c r="S1020" s="291"/>
      <c r="T1020" s="291"/>
      <c r="U1020" s="291"/>
      <c r="V1020" s="291"/>
      <c r="W1020" s="291"/>
      <c r="X1020" s="291"/>
      <c r="Y1020" s="411"/>
      <c r="Z1020" s="411"/>
      <c r="AA1020" s="411"/>
      <c r="AB1020" s="411"/>
      <c r="AC1020" s="411"/>
      <c r="AD1020" s="411"/>
      <c r="AE1020" s="411"/>
      <c r="AF1020" s="411"/>
      <c r="AG1020" s="411"/>
      <c r="AH1020" s="411"/>
      <c r="AI1020" s="411"/>
      <c r="AJ1020" s="411"/>
      <c r="AK1020" s="411"/>
      <c r="AL1020" s="411"/>
      <c r="AM1020" s="301"/>
      <c r="AN1020" s="625"/>
    </row>
    <row r="1021" spans="1:40" s="309" customFormat="1" ht="15.75" hidden="1" outlineLevel="1">
      <c r="A1021" s="527"/>
      <c r="B1021" s="288" t="s">
        <v>490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11"/>
      <c r="Z1021" s="411"/>
      <c r="AA1021" s="411"/>
      <c r="AB1021" s="411"/>
      <c r="AC1021" s="411"/>
      <c r="AD1021" s="411"/>
      <c r="AE1021" s="415"/>
      <c r="AF1021" s="415"/>
      <c r="AG1021" s="415"/>
      <c r="AH1021" s="415"/>
      <c r="AI1021" s="415"/>
      <c r="AJ1021" s="415"/>
      <c r="AK1021" s="415"/>
      <c r="AL1021" s="415"/>
      <c r="AM1021" s="512"/>
      <c r="AN1021" s="626"/>
    </row>
    <row r="1022" spans="1:40" hidden="1" outlineLevel="1">
      <c r="A1022" s="527">
        <v>15</v>
      </c>
      <c r="B1022" s="294" t="s">
        <v>495</v>
      </c>
      <c r="C1022" s="291" t="s">
        <v>25</v>
      </c>
      <c r="D1022" s="295"/>
      <c r="E1022" s="295"/>
      <c r="F1022" s="295"/>
      <c r="G1022" s="295"/>
      <c r="H1022" s="295"/>
      <c r="I1022" s="295"/>
      <c r="J1022" s="295"/>
      <c r="K1022" s="295"/>
      <c r="L1022" s="295"/>
      <c r="M1022" s="295"/>
      <c r="N1022" s="295">
        <v>0</v>
      </c>
      <c r="O1022" s="295"/>
      <c r="P1022" s="295"/>
      <c r="Q1022" s="295"/>
      <c r="R1022" s="295"/>
      <c r="S1022" s="295"/>
      <c r="T1022" s="295"/>
      <c r="U1022" s="295"/>
      <c r="V1022" s="295"/>
      <c r="W1022" s="295"/>
      <c r="X1022" s="295"/>
      <c r="Y1022" s="409"/>
      <c r="Z1022" s="409"/>
      <c r="AA1022" s="409"/>
      <c r="AB1022" s="409"/>
      <c r="AC1022" s="409"/>
      <c r="AD1022" s="409"/>
      <c r="AE1022" s="409"/>
      <c r="AF1022" s="409"/>
      <c r="AG1022" s="409"/>
      <c r="AH1022" s="409"/>
      <c r="AI1022" s="409"/>
      <c r="AJ1022" s="409"/>
      <c r="AK1022" s="409"/>
      <c r="AL1022" s="409"/>
      <c r="AM1022" s="627">
        <f>SUM(Y1022:AL1022)</f>
        <v>0</v>
      </c>
      <c r="AN1022" s="625"/>
    </row>
    <row r="1023" spans="1:40" hidden="1" outlineLevel="1">
      <c r="A1023" s="527"/>
      <c r="B1023" s="294" t="s">
        <v>342</v>
      </c>
      <c r="C1023" s="291" t="s">
        <v>163</v>
      </c>
      <c r="D1023" s="295"/>
      <c r="E1023" s="295"/>
      <c r="F1023" s="295"/>
      <c r="G1023" s="295"/>
      <c r="H1023" s="295"/>
      <c r="I1023" s="295"/>
      <c r="J1023" s="295"/>
      <c r="K1023" s="295"/>
      <c r="L1023" s="295"/>
      <c r="M1023" s="295"/>
      <c r="N1023" s="295">
        <f>N1022</f>
        <v>0</v>
      </c>
      <c r="O1023" s="295"/>
      <c r="P1023" s="295"/>
      <c r="Q1023" s="295"/>
      <c r="R1023" s="295"/>
      <c r="S1023" s="295"/>
      <c r="T1023" s="295"/>
      <c r="U1023" s="295"/>
      <c r="V1023" s="295"/>
      <c r="W1023" s="295"/>
      <c r="X1023" s="295"/>
      <c r="Y1023" s="410">
        <f>Y1022</f>
        <v>0</v>
      </c>
      <c r="Z1023" s="410">
        <f>Z1022</f>
        <v>0</v>
      </c>
      <c r="AA1023" s="410">
        <f t="shared" ref="AA1023:AL1023" si="3048">AA1022</f>
        <v>0</v>
      </c>
      <c r="AB1023" s="410">
        <f t="shared" si="3048"/>
        <v>0</v>
      </c>
      <c r="AC1023" s="410">
        <f t="shared" si="3048"/>
        <v>0</v>
      </c>
      <c r="AD1023" s="410">
        <f>AD1022</f>
        <v>0</v>
      </c>
      <c r="AE1023" s="410">
        <f t="shared" si="3048"/>
        <v>0</v>
      </c>
      <c r="AF1023" s="410">
        <f t="shared" si="3048"/>
        <v>0</v>
      </c>
      <c r="AG1023" s="410">
        <f t="shared" si="3048"/>
        <v>0</v>
      </c>
      <c r="AH1023" s="410">
        <f t="shared" si="3048"/>
        <v>0</v>
      </c>
      <c r="AI1023" s="410">
        <f t="shared" si="3048"/>
        <v>0</v>
      </c>
      <c r="AJ1023" s="410">
        <f t="shared" si="3048"/>
        <v>0</v>
      </c>
      <c r="AK1023" s="410">
        <f t="shared" si="3048"/>
        <v>0</v>
      </c>
      <c r="AL1023" s="410">
        <f t="shared" si="3048"/>
        <v>0</v>
      </c>
      <c r="AM1023" s="297"/>
    </row>
    <row r="1024" spans="1:40" hidden="1" outlineLevel="1">
      <c r="A1024" s="527"/>
      <c r="B1024" s="315"/>
      <c r="C1024" s="305"/>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11"/>
      <c r="Z1024" s="411"/>
      <c r="AA1024" s="411"/>
      <c r="AB1024" s="411"/>
      <c r="AC1024" s="411"/>
      <c r="AD1024" s="411"/>
      <c r="AE1024" s="411"/>
      <c r="AF1024" s="411"/>
      <c r="AG1024" s="411"/>
      <c r="AH1024" s="411"/>
      <c r="AI1024" s="411"/>
      <c r="AJ1024" s="411"/>
      <c r="AK1024" s="411"/>
      <c r="AL1024" s="411"/>
      <c r="AM1024" s="306"/>
    </row>
    <row r="1025" spans="1:39" s="283" customFormat="1" hidden="1" outlineLevel="1">
      <c r="A1025" s="527">
        <v>16</v>
      </c>
      <c r="B1025" s="323" t="s">
        <v>491</v>
      </c>
      <c r="C1025" s="291" t="s">
        <v>25</v>
      </c>
      <c r="D1025" s="295"/>
      <c r="E1025" s="295"/>
      <c r="F1025" s="295"/>
      <c r="G1025" s="295"/>
      <c r="H1025" s="295"/>
      <c r="I1025" s="295"/>
      <c r="J1025" s="295"/>
      <c r="K1025" s="295"/>
      <c r="L1025" s="295"/>
      <c r="M1025" s="295"/>
      <c r="N1025" s="295">
        <v>0</v>
      </c>
      <c r="O1025" s="295"/>
      <c r="P1025" s="295"/>
      <c r="Q1025" s="295"/>
      <c r="R1025" s="295"/>
      <c r="S1025" s="295"/>
      <c r="T1025" s="295"/>
      <c r="U1025" s="295"/>
      <c r="V1025" s="295"/>
      <c r="W1025" s="295"/>
      <c r="X1025" s="295"/>
      <c r="Y1025" s="409"/>
      <c r="Z1025" s="409"/>
      <c r="AA1025" s="409"/>
      <c r="AB1025" s="409"/>
      <c r="AC1025" s="409"/>
      <c r="AD1025" s="409"/>
      <c r="AE1025" s="409"/>
      <c r="AF1025" s="409"/>
      <c r="AG1025" s="409"/>
      <c r="AH1025" s="409"/>
      <c r="AI1025" s="409"/>
      <c r="AJ1025" s="409"/>
      <c r="AK1025" s="409"/>
      <c r="AL1025" s="409"/>
      <c r="AM1025" s="296">
        <f>SUM(Y1025:AL1025)</f>
        <v>0</v>
      </c>
    </row>
    <row r="1026" spans="1:39" s="283" customFormat="1" hidden="1" outlineLevel="1">
      <c r="A1026" s="527"/>
      <c r="B1026" s="294" t="s">
        <v>342</v>
      </c>
      <c r="C1026" s="291" t="s">
        <v>163</v>
      </c>
      <c r="D1026" s="295"/>
      <c r="E1026" s="295"/>
      <c r="F1026" s="295"/>
      <c r="G1026" s="295"/>
      <c r="H1026" s="295"/>
      <c r="I1026" s="295"/>
      <c r="J1026" s="295"/>
      <c r="K1026" s="295"/>
      <c r="L1026" s="295"/>
      <c r="M1026" s="295"/>
      <c r="N1026" s="295">
        <f>N1025</f>
        <v>0</v>
      </c>
      <c r="O1026" s="295"/>
      <c r="P1026" s="295"/>
      <c r="Q1026" s="295"/>
      <c r="R1026" s="295"/>
      <c r="S1026" s="295"/>
      <c r="T1026" s="295"/>
      <c r="U1026" s="295"/>
      <c r="V1026" s="295"/>
      <c r="W1026" s="295"/>
      <c r="X1026" s="295"/>
      <c r="Y1026" s="410">
        <f>Y1025</f>
        <v>0</v>
      </c>
      <c r="Z1026" s="410">
        <f t="shared" ref="Z1026:AK1026" si="3049">Z1025</f>
        <v>0</v>
      </c>
      <c r="AA1026" s="410">
        <f t="shared" si="3049"/>
        <v>0</v>
      </c>
      <c r="AB1026" s="410">
        <f t="shared" si="3049"/>
        <v>0</v>
      </c>
      <c r="AC1026" s="410">
        <f t="shared" si="3049"/>
        <v>0</v>
      </c>
      <c r="AD1026" s="410">
        <f t="shared" si="3049"/>
        <v>0</v>
      </c>
      <c r="AE1026" s="410">
        <f t="shared" si="3049"/>
        <v>0</v>
      </c>
      <c r="AF1026" s="410">
        <f t="shared" si="3049"/>
        <v>0</v>
      </c>
      <c r="AG1026" s="410">
        <f t="shared" si="3049"/>
        <v>0</v>
      </c>
      <c r="AH1026" s="410">
        <f t="shared" si="3049"/>
        <v>0</v>
      </c>
      <c r="AI1026" s="410">
        <f t="shared" si="3049"/>
        <v>0</v>
      </c>
      <c r="AJ1026" s="410">
        <f t="shared" si="3049"/>
        <v>0</v>
      </c>
      <c r="AK1026" s="410">
        <f t="shared" si="3049"/>
        <v>0</v>
      </c>
      <c r="AL1026" s="410">
        <f>AL1025</f>
        <v>0</v>
      </c>
      <c r="AM1026" s="297"/>
    </row>
    <row r="1027" spans="1:39" s="283" customFormat="1" hidden="1" outlineLevel="1">
      <c r="A1027" s="527"/>
      <c r="B1027" s="323"/>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11"/>
      <c r="Z1027" s="411"/>
      <c r="AA1027" s="411"/>
      <c r="AB1027" s="411"/>
      <c r="AC1027" s="411"/>
      <c r="AD1027" s="411"/>
      <c r="AE1027" s="415"/>
      <c r="AF1027" s="415"/>
      <c r="AG1027" s="415"/>
      <c r="AH1027" s="415"/>
      <c r="AI1027" s="415"/>
      <c r="AJ1027" s="415"/>
      <c r="AK1027" s="415"/>
      <c r="AL1027" s="415"/>
      <c r="AM1027" s="313"/>
    </row>
    <row r="1028" spans="1:39" ht="15.75" hidden="1" outlineLevel="1">
      <c r="A1028" s="527"/>
      <c r="B1028" s="514" t="s">
        <v>496</v>
      </c>
      <c r="C1028" s="319"/>
      <c r="D1028" s="290"/>
      <c r="E1028" s="289"/>
      <c r="F1028" s="289"/>
      <c r="G1028" s="289"/>
      <c r="H1028" s="289"/>
      <c r="I1028" s="289"/>
      <c r="J1028" s="289"/>
      <c r="K1028" s="289"/>
      <c r="L1028" s="289"/>
      <c r="M1028" s="289"/>
      <c r="N1028" s="290"/>
      <c r="O1028" s="289"/>
      <c r="P1028" s="289"/>
      <c r="Q1028" s="289"/>
      <c r="R1028" s="289"/>
      <c r="S1028" s="289"/>
      <c r="T1028" s="289"/>
      <c r="U1028" s="289"/>
      <c r="V1028" s="289"/>
      <c r="W1028" s="289"/>
      <c r="X1028" s="289"/>
      <c r="Y1028" s="413"/>
      <c r="Z1028" s="413"/>
      <c r="AA1028" s="413"/>
      <c r="AB1028" s="413"/>
      <c r="AC1028" s="413"/>
      <c r="AD1028" s="413"/>
      <c r="AE1028" s="413"/>
      <c r="AF1028" s="413"/>
      <c r="AG1028" s="413"/>
      <c r="AH1028" s="413"/>
      <c r="AI1028" s="413"/>
      <c r="AJ1028" s="413"/>
      <c r="AK1028" s="413"/>
      <c r="AL1028" s="413"/>
      <c r="AM1028" s="292"/>
    </row>
    <row r="1029" spans="1:39" ht="30" hidden="1" outlineLevel="1">
      <c r="A1029" s="527">
        <v>17</v>
      </c>
      <c r="B1029" s="425" t="s">
        <v>112</v>
      </c>
      <c r="C1029" s="291" t="s">
        <v>25</v>
      </c>
      <c r="D1029" s="295"/>
      <c r="E1029" s="295"/>
      <c r="F1029" s="295"/>
      <c r="G1029" s="295"/>
      <c r="H1029" s="295"/>
      <c r="I1029" s="295"/>
      <c r="J1029" s="295"/>
      <c r="K1029" s="295"/>
      <c r="L1029" s="295"/>
      <c r="M1029" s="295"/>
      <c r="N1029" s="295">
        <v>12</v>
      </c>
      <c r="O1029" s="295"/>
      <c r="P1029" s="295"/>
      <c r="Q1029" s="295"/>
      <c r="R1029" s="295"/>
      <c r="S1029" s="295"/>
      <c r="T1029" s="295"/>
      <c r="U1029" s="295"/>
      <c r="V1029" s="295"/>
      <c r="W1029" s="295"/>
      <c r="X1029" s="295"/>
      <c r="Y1029" s="423"/>
      <c r="Z1029" s="409"/>
      <c r="AA1029" s="409"/>
      <c r="AB1029" s="409"/>
      <c r="AC1029" s="409"/>
      <c r="AD1029" s="409"/>
      <c r="AE1029" s="409"/>
      <c r="AF1029" s="414"/>
      <c r="AG1029" s="414"/>
      <c r="AH1029" s="414"/>
      <c r="AI1029" s="414"/>
      <c r="AJ1029" s="414"/>
      <c r="AK1029" s="414"/>
      <c r="AL1029" s="414"/>
      <c r="AM1029" s="296">
        <f>SUM(Y1029:AL1029)</f>
        <v>0</v>
      </c>
    </row>
    <row r="1030" spans="1:39" hidden="1" outlineLevel="1">
      <c r="A1030" s="527"/>
      <c r="B1030" s="294" t="s">
        <v>342</v>
      </c>
      <c r="C1030" s="291" t="s">
        <v>163</v>
      </c>
      <c r="D1030" s="295"/>
      <c r="E1030" s="295"/>
      <c r="F1030" s="295"/>
      <c r="G1030" s="295"/>
      <c r="H1030" s="295"/>
      <c r="I1030" s="295"/>
      <c r="J1030" s="295"/>
      <c r="K1030" s="295"/>
      <c r="L1030" s="295"/>
      <c r="M1030" s="295"/>
      <c r="N1030" s="295">
        <f>N1029</f>
        <v>12</v>
      </c>
      <c r="O1030" s="295"/>
      <c r="P1030" s="295"/>
      <c r="Q1030" s="295"/>
      <c r="R1030" s="295"/>
      <c r="S1030" s="295"/>
      <c r="T1030" s="295"/>
      <c r="U1030" s="295"/>
      <c r="V1030" s="295"/>
      <c r="W1030" s="295"/>
      <c r="X1030" s="295"/>
      <c r="Y1030" s="410">
        <f>Y1029</f>
        <v>0</v>
      </c>
      <c r="Z1030" s="410">
        <f t="shared" ref="Z1030:AL1030" si="3050">Z1029</f>
        <v>0</v>
      </c>
      <c r="AA1030" s="410">
        <f t="shared" si="3050"/>
        <v>0</v>
      </c>
      <c r="AB1030" s="410">
        <f t="shared" si="3050"/>
        <v>0</v>
      </c>
      <c r="AC1030" s="410">
        <f t="shared" si="3050"/>
        <v>0</v>
      </c>
      <c r="AD1030" s="410">
        <f t="shared" si="3050"/>
        <v>0</v>
      </c>
      <c r="AE1030" s="410">
        <f t="shared" si="3050"/>
        <v>0</v>
      </c>
      <c r="AF1030" s="410">
        <f t="shared" si="3050"/>
        <v>0</v>
      </c>
      <c r="AG1030" s="410">
        <f t="shared" si="3050"/>
        <v>0</v>
      </c>
      <c r="AH1030" s="410">
        <f t="shared" si="3050"/>
        <v>0</v>
      </c>
      <c r="AI1030" s="410">
        <f t="shared" si="3050"/>
        <v>0</v>
      </c>
      <c r="AJ1030" s="410">
        <f t="shared" si="3050"/>
        <v>0</v>
      </c>
      <c r="AK1030" s="410">
        <f t="shared" si="3050"/>
        <v>0</v>
      </c>
      <c r="AL1030" s="410">
        <f t="shared" si="3050"/>
        <v>0</v>
      </c>
      <c r="AM1030" s="306"/>
    </row>
    <row r="1031" spans="1:39" hidden="1" outlineLevel="1">
      <c r="A1031" s="527"/>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9"/>
      <c r="Z1031" s="422"/>
      <c r="AA1031" s="422"/>
      <c r="AB1031" s="422"/>
      <c r="AC1031" s="422"/>
      <c r="AD1031" s="422"/>
      <c r="AE1031" s="422"/>
      <c r="AF1031" s="422"/>
      <c r="AG1031" s="422"/>
      <c r="AH1031" s="422"/>
      <c r="AI1031" s="422"/>
      <c r="AJ1031" s="422"/>
      <c r="AK1031" s="422"/>
      <c r="AL1031" s="422"/>
      <c r="AM1031" s="306"/>
    </row>
    <row r="1032" spans="1:39" hidden="1" outlineLevel="1">
      <c r="A1032" s="527">
        <v>18</v>
      </c>
      <c r="B1032" s="425" t="s">
        <v>109</v>
      </c>
      <c r="C1032" s="291" t="s">
        <v>25</v>
      </c>
      <c r="D1032" s="295"/>
      <c r="E1032" s="295"/>
      <c r="F1032" s="295"/>
      <c r="G1032" s="295"/>
      <c r="H1032" s="295"/>
      <c r="I1032" s="295"/>
      <c r="J1032" s="295"/>
      <c r="K1032" s="295"/>
      <c r="L1032" s="295"/>
      <c r="M1032" s="295"/>
      <c r="N1032" s="295">
        <v>12</v>
      </c>
      <c r="O1032" s="295"/>
      <c r="P1032" s="295"/>
      <c r="Q1032" s="295"/>
      <c r="R1032" s="295"/>
      <c r="S1032" s="295"/>
      <c r="T1032" s="295"/>
      <c r="U1032" s="295"/>
      <c r="V1032" s="295"/>
      <c r="W1032" s="295"/>
      <c r="X1032" s="295"/>
      <c r="Y1032" s="423"/>
      <c r="Z1032" s="409"/>
      <c r="AA1032" s="409"/>
      <c r="AB1032" s="409"/>
      <c r="AC1032" s="409"/>
      <c r="AD1032" s="409"/>
      <c r="AE1032" s="409"/>
      <c r="AF1032" s="414"/>
      <c r="AG1032" s="414"/>
      <c r="AH1032" s="414"/>
      <c r="AI1032" s="414"/>
      <c r="AJ1032" s="414"/>
      <c r="AK1032" s="414"/>
      <c r="AL1032" s="414"/>
      <c r="AM1032" s="296">
        <f>SUM(Y1032:AL1032)</f>
        <v>0</v>
      </c>
    </row>
    <row r="1033" spans="1:39" hidden="1" outlineLevel="1">
      <c r="A1033" s="527"/>
      <c r="B1033" s="294" t="s">
        <v>342</v>
      </c>
      <c r="C1033" s="291" t="s">
        <v>163</v>
      </c>
      <c r="D1033" s="295"/>
      <c r="E1033" s="295"/>
      <c r="F1033" s="295"/>
      <c r="G1033" s="295"/>
      <c r="H1033" s="295"/>
      <c r="I1033" s="295"/>
      <c r="J1033" s="295"/>
      <c r="K1033" s="295"/>
      <c r="L1033" s="295"/>
      <c r="M1033" s="295"/>
      <c r="N1033" s="295">
        <f>N1032</f>
        <v>12</v>
      </c>
      <c r="O1033" s="295"/>
      <c r="P1033" s="295"/>
      <c r="Q1033" s="295"/>
      <c r="R1033" s="295"/>
      <c r="S1033" s="295"/>
      <c r="T1033" s="295"/>
      <c r="U1033" s="295"/>
      <c r="V1033" s="295"/>
      <c r="W1033" s="295"/>
      <c r="X1033" s="295"/>
      <c r="Y1033" s="410">
        <f>Y1032</f>
        <v>0</v>
      </c>
      <c r="Z1033" s="410">
        <f t="shared" ref="Z1033:AL1033" si="3051">Z1032</f>
        <v>0</v>
      </c>
      <c r="AA1033" s="410">
        <f t="shared" si="3051"/>
        <v>0</v>
      </c>
      <c r="AB1033" s="410">
        <f t="shared" si="3051"/>
        <v>0</v>
      </c>
      <c r="AC1033" s="410">
        <f t="shared" si="3051"/>
        <v>0</v>
      </c>
      <c r="AD1033" s="410">
        <f t="shared" si="3051"/>
        <v>0</v>
      </c>
      <c r="AE1033" s="410">
        <f t="shared" si="3051"/>
        <v>0</v>
      </c>
      <c r="AF1033" s="410">
        <f t="shared" si="3051"/>
        <v>0</v>
      </c>
      <c r="AG1033" s="410">
        <f t="shared" si="3051"/>
        <v>0</v>
      </c>
      <c r="AH1033" s="410">
        <f t="shared" si="3051"/>
        <v>0</v>
      </c>
      <c r="AI1033" s="410">
        <f t="shared" si="3051"/>
        <v>0</v>
      </c>
      <c r="AJ1033" s="410">
        <f t="shared" si="3051"/>
        <v>0</v>
      </c>
      <c r="AK1033" s="410">
        <f t="shared" si="3051"/>
        <v>0</v>
      </c>
      <c r="AL1033" s="410">
        <f t="shared" si="3051"/>
        <v>0</v>
      </c>
      <c r="AM1033" s="306"/>
    </row>
    <row r="1034" spans="1:39" hidden="1" outlineLevel="1">
      <c r="A1034" s="527"/>
      <c r="B1034" s="321"/>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0"/>
      <c r="Z1034" s="421"/>
      <c r="AA1034" s="421"/>
      <c r="AB1034" s="421"/>
      <c r="AC1034" s="421"/>
      <c r="AD1034" s="421"/>
      <c r="AE1034" s="421"/>
      <c r="AF1034" s="421"/>
      <c r="AG1034" s="421"/>
      <c r="AH1034" s="421"/>
      <c r="AI1034" s="421"/>
      <c r="AJ1034" s="421"/>
      <c r="AK1034" s="421"/>
      <c r="AL1034" s="421"/>
      <c r="AM1034" s="297"/>
    </row>
    <row r="1035" spans="1:39" ht="30" hidden="1" outlineLevel="1">
      <c r="A1035" s="527">
        <v>19</v>
      </c>
      <c r="B1035" s="425" t="s">
        <v>111</v>
      </c>
      <c r="C1035" s="291" t="s">
        <v>25</v>
      </c>
      <c r="D1035" s="295"/>
      <c r="E1035" s="295"/>
      <c r="F1035" s="295"/>
      <c r="G1035" s="295"/>
      <c r="H1035" s="295"/>
      <c r="I1035" s="295"/>
      <c r="J1035" s="295"/>
      <c r="K1035" s="295"/>
      <c r="L1035" s="295"/>
      <c r="M1035" s="295"/>
      <c r="N1035" s="295">
        <v>12</v>
      </c>
      <c r="O1035" s="295"/>
      <c r="P1035" s="295"/>
      <c r="Q1035" s="295"/>
      <c r="R1035" s="295"/>
      <c r="S1035" s="295"/>
      <c r="T1035" s="295"/>
      <c r="U1035" s="295"/>
      <c r="V1035" s="295"/>
      <c r="W1035" s="295"/>
      <c r="X1035" s="295"/>
      <c r="Y1035" s="423"/>
      <c r="Z1035" s="409"/>
      <c r="AA1035" s="409"/>
      <c r="AB1035" s="409"/>
      <c r="AC1035" s="409"/>
      <c r="AD1035" s="409"/>
      <c r="AE1035" s="409"/>
      <c r="AF1035" s="414"/>
      <c r="AG1035" s="414"/>
      <c r="AH1035" s="414"/>
      <c r="AI1035" s="414"/>
      <c r="AJ1035" s="414"/>
      <c r="AK1035" s="414"/>
      <c r="AL1035" s="414"/>
      <c r="AM1035" s="296">
        <f>SUM(Y1035:AL1035)</f>
        <v>0</v>
      </c>
    </row>
    <row r="1036" spans="1:39" hidden="1" outlineLevel="1">
      <c r="A1036" s="527"/>
      <c r="B1036" s="294" t="s">
        <v>342</v>
      </c>
      <c r="C1036" s="291" t="s">
        <v>163</v>
      </c>
      <c r="D1036" s="295"/>
      <c r="E1036" s="295"/>
      <c r="F1036" s="295"/>
      <c r="G1036" s="295"/>
      <c r="H1036" s="295"/>
      <c r="I1036" s="295"/>
      <c r="J1036" s="295"/>
      <c r="K1036" s="295"/>
      <c r="L1036" s="295"/>
      <c r="M1036" s="295"/>
      <c r="N1036" s="295">
        <f>N1035</f>
        <v>12</v>
      </c>
      <c r="O1036" s="295"/>
      <c r="P1036" s="295"/>
      <c r="Q1036" s="295"/>
      <c r="R1036" s="295"/>
      <c r="S1036" s="295"/>
      <c r="T1036" s="295"/>
      <c r="U1036" s="295"/>
      <c r="V1036" s="295"/>
      <c r="W1036" s="295"/>
      <c r="X1036" s="295"/>
      <c r="Y1036" s="410">
        <f>Y1035</f>
        <v>0</v>
      </c>
      <c r="Z1036" s="410">
        <f t="shared" ref="Z1036:AL1036" si="3052">Z1035</f>
        <v>0</v>
      </c>
      <c r="AA1036" s="410">
        <f t="shared" si="3052"/>
        <v>0</v>
      </c>
      <c r="AB1036" s="410">
        <f t="shared" si="3052"/>
        <v>0</v>
      </c>
      <c r="AC1036" s="410">
        <f t="shared" si="3052"/>
        <v>0</v>
      </c>
      <c r="AD1036" s="410">
        <f t="shared" si="3052"/>
        <v>0</v>
      </c>
      <c r="AE1036" s="410">
        <f t="shared" si="3052"/>
        <v>0</v>
      </c>
      <c r="AF1036" s="410">
        <f t="shared" si="3052"/>
        <v>0</v>
      </c>
      <c r="AG1036" s="410">
        <f t="shared" si="3052"/>
        <v>0</v>
      </c>
      <c r="AH1036" s="410">
        <f t="shared" si="3052"/>
        <v>0</v>
      </c>
      <c r="AI1036" s="410">
        <f t="shared" si="3052"/>
        <v>0</v>
      </c>
      <c r="AJ1036" s="410">
        <f t="shared" si="3052"/>
        <v>0</v>
      </c>
      <c r="AK1036" s="410">
        <f t="shared" si="3052"/>
        <v>0</v>
      </c>
      <c r="AL1036" s="410">
        <f t="shared" si="3052"/>
        <v>0</v>
      </c>
      <c r="AM1036" s="297"/>
    </row>
    <row r="1037" spans="1:39" hidden="1" outlineLevel="1">
      <c r="A1037" s="527"/>
      <c r="B1037" s="321"/>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1"/>
      <c r="Z1037" s="411"/>
      <c r="AA1037" s="411"/>
      <c r="AB1037" s="411"/>
      <c r="AC1037" s="411"/>
      <c r="AD1037" s="411"/>
      <c r="AE1037" s="411"/>
      <c r="AF1037" s="411"/>
      <c r="AG1037" s="411"/>
      <c r="AH1037" s="411"/>
      <c r="AI1037" s="411"/>
      <c r="AJ1037" s="411"/>
      <c r="AK1037" s="411"/>
      <c r="AL1037" s="411"/>
      <c r="AM1037" s="306"/>
    </row>
    <row r="1038" spans="1:39" hidden="1" outlineLevel="1">
      <c r="A1038" s="527">
        <v>20</v>
      </c>
      <c r="B1038" s="425" t="s">
        <v>110</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3"/>
      <c r="Z1038" s="409"/>
      <c r="AA1038" s="409"/>
      <c r="AB1038" s="409"/>
      <c r="AC1038" s="409"/>
      <c r="AD1038" s="409"/>
      <c r="AE1038" s="409"/>
      <c r="AF1038" s="414"/>
      <c r="AG1038" s="414"/>
      <c r="AH1038" s="414"/>
      <c r="AI1038" s="414"/>
      <c r="AJ1038" s="414"/>
      <c r="AK1038" s="414"/>
      <c r="AL1038" s="414"/>
      <c r="AM1038" s="296">
        <f>SUM(Y1038:AL1038)</f>
        <v>0</v>
      </c>
    </row>
    <row r="1039" spans="1:39" hidden="1" outlineLevel="1">
      <c r="A1039" s="527"/>
      <c r="B1039" s="294" t="s">
        <v>342</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0">
        <f t="shared" ref="Y1039:AL1039" si="3053">Y1038</f>
        <v>0</v>
      </c>
      <c r="Z1039" s="410">
        <f t="shared" si="3053"/>
        <v>0</v>
      </c>
      <c r="AA1039" s="410">
        <f t="shared" si="3053"/>
        <v>0</v>
      </c>
      <c r="AB1039" s="410">
        <f t="shared" si="3053"/>
        <v>0</v>
      </c>
      <c r="AC1039" s="410">
        <f t="shared" si="3053"/>
        <v>0</v>
      </c>
      <c r="AD1039" s="410">
        <f t="shared" si="3053"/>
        <v>0</v>
      </c>
      <c r="AE1039" s="410">
        <f t="shared" si="3053"/>
        <v>0</v>
      </c>
      <c r="AF1039" s="410">
        <f t="shared" si="3053"/>
        <v>0</v>
      </c>
      <c r="AG1039" s="410">
        <f t="shared" si="3053"/>
        <v>0</v>
      </c>
      <c r="AH1039" s="410">
        <f t="shared" si="3053"/>
        <v>0</v>
      </c>
      <c r="AI1039" s="410">
        <f t="shared" si="3053"/>
        <v>0</v>
      </c>
      <c r="AJ1039" s="410">
        <f t="shared" si="3053"/>
        <v>0</v>
      </c>
      <c r="AK1039" s="410">
        <f t="shared" si="3053"/>
        <v>0</v>
      </c>
      <c r="AL1039" s="410">
        <f t="shared" si="3053"/>
        <v>0</v>
      </c>
      <c r="AM1039" s="306"/>
    </row>
    <row r="1040" spans="1:39" ht="15.75" hidden="1" outlineLevel="1">
      <c r="A1040" s="527"/>
      <c r="B1040" s="322"/>
      <c r="C1040" s="300"/>
      <c r="D1040" s="291"/>
      <c r="E1040" s="291"/>
      <c r="F1040" s="291"/>
      <c r="G1040" s="291"/>
      <c r="H1040" s="291"/>
      <c r="I1040" s="291"/>
      <c r="J1040" s="291"/>
      <c r="K1040" s="291"/>
      <c r="L1040" s="291"/>
      <c r="M1040" s="291"/>
      <c r="N1040" s="300"/>
      <c r="O1040" s="291"/>
      <c r="P1040" s="291"/>
      <c r="Q1040" s="291"/>
      <c r="R1040" s="291"/>
      <c r="S1040" s="291"/>
      <c r="T1040" s="291"/>
      <c r="U1040" s="291"/>
      <c r="V1040" s="291"/>
      <c r="W1040" s="291"/>
      <c r="X1040" s="291"/>
      <c r="Y1040" s="411"/>
      <c r="Z1040" s="411"/>
      <c r="AA1040" s="411"/>
      <c r="AB1040" s="411"/>
      <c r="AC1040" s="411"/>
      <c r="AD1040" s="411"/>
      <c r="AE1040" s="411"/>
      <c r="AF1040" s="411"/>
      <c r="AG1040" s="411"/>
      <c r="AH1040" s="411"/>
      <c r="AI1040" s="411"/>
      <c r="AJ1040" s="411"/>
      <c r="AK1040" s="411"/>
      <c r="AL1040" s="411"/>
      <c r="AM1040" s="306"/>
    </row>
    <row r="1041" spans="1:39" ht="15.75" hidden="1" outlineLevel="1">
      <c r="A1041" s="527"/>
      <c r="B1041" s="513" t="s">
        <v>503</v>
      </c>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9"/>
      <c r="Z1041" s="422"/>
      <c r="AA1041" s="422"/>
      <c r="AB1041" s="422"/>
      <c r="AC1041" s="422"/>
      <c r="AD1041" s="422"/>
      <c r="AE1041" s="422"/>
      <c r="AF1041" s="422"/>
      <c r="AG1041" s="422"/>
      <c r="AH1041" s="422"/>
      <c r="AI1041" s="422"/>
      <c r="AJ1041" s="422"/>
      <c r="AK1041" s="422"/>
      <c r="AL1041" s="422"/>
      <c r="AM1041" s="306"/>
    </row>
    <row r="1042" spans="1:39" ht="15.75" hidden="1" outlineLevel="1">
      <c r="A1042" s="527"/>
      <c r="B1042" s="499" t="s">
        <v>499</v>
      </c>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9"/>
      <c r="Z1042" s="422"/>
      <c r="AA1042" s="422"/>
      <c r="AB1042" s="422"/>
      <c r="AC1042" s="422"/>
      <c r="AD1042" s="422"/>
      <c r="AE1042" s="422"/>
      <c r="AF1042" s="422"/>
      <c r="AG1042" s="422"/>
      <c r="AH1042" s="422"/>
      <c r="AI1042" s="422"/>
      <c r="AJ1042" s="422"/>
      <c r="AK1042" s="422"/>
      <c r="AL1042" s="422"/>
      <c r="AM1042" s="306"/>
    </row>
    <row r="1043" spans="1:39" ht="15" hidden="1" customHeight="1" outlineLevel="1">
      <c r="A1043" s="527">
        <v>21</v>
      </c>
      <c r="B1043" s="425" t="s">
        <v>113</v>
      </c>
      <c r="C1043" s="291" t="s">
        <v>25</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09"/>
      <c r="Z1043" s="409"/>
      <c r="AA1043" s="409"/>
      <c r="AB1043" s="409"/>
      <c r="AC1043" s="409"/>
      <c r="AD1043" s="409"/>
      <c r="AE1043" s="409"/>
      <c r="AF1043" s="409"/>
      <c r="AG1043" s="409"/>
      <c r="AH1043" s="409"/>
      <c r="AI1043" s="409"/>
      <c r="AJ1043" s="409"/>
      <c r="AK1043" s="409"/>
      <c r="AL1043" s="409"/>
      <c r="AM1043" s="296">
        <f>SUM(Y1043:AL1043)</f>
        <v>0</v>
      </c>
    </row>
    <row r="1044" spans="1:39" ht="15" hidden="1" customHeight="1" outlineLevel="1">
      <c r="A1044" s="527"/>
      <c r="B1044" s="294" t="s">
        <v>346</v>
      </c>
      <c r="C1044" s="291" t="s">
        <v>163</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10">
        <f>Y1043</f>
        <v>0</v>
      </c>
      <c r="Z1044" s="410">
        <f t="shared" ref="Z1044" si="3054">Z1043</f>
        <v>0</v>
      </c>
      <c r="AA1044" s="410">
        <f t="shared" ref="AA1044" si="3055">AA1043</f>
        <v>0</v>
      </c>
      <c r="AB1044" s="410">
        <f t="shared" ref="AB1044" si="3056">AB1043</f>
        <v>0</v>
      </c>
      <c r="AC1044" s="410">
        <f t="shared" ref="AC1044" si="3057">AC1043</f>
        <v>0</v>
      </c>
      <c r="AD1044" s="410">
        <f t="shared" ref="AD1044" si="3058">AD1043</f>
        <v>0</v>
      </c>
      <c r="AE1044" s="410">
        <f t="shared" ref="AE1044" si="3059">AE1043</f>
        <v>0</v>
      </c>
      <c r="AF1044" s="410">
        <f t="shared" ref="AF1044" si="3060">AF1043</f>
        <v>0</v>
      </c>
      <c r="AG1044" s="410">
        <f t="shared" ref="AG1044" si="3061">AG1043</f>
        <v>0</v>
      </c>
      <c r="AH1044" s="410">
        <f t="shared" ref="AH1044" si="3062">AH1043</f>
        <v>0</v>
      </c>
      <c r="AI1044" s="410">
        <f t="shared" ref="AI1044" si="3063">AI1043</f>
        <v>0</v>
      </c>
      <c r="AJ1044" s="410">
        <f t="shared" ref="AJ1044" si="3064">AJ1043</f>
        <v>0</v>
      </c>
      <c r="AK1044" s="410">
        <f t="shared" ref="AK1044" si="3065">AK1043</f>
        <v>0</v>
      </c>
      <c r="AL1044" s="410">
        <f t="shared" ref="AL1044" si="3066">AL1043</f>
        <v>0</v>
      </c>
      <c r="AM1044" s="306"/>
    </row>
    <row r="1045" spans="1:39" ht="15" hidden="1" customHeight="1" outlineLevel="1">
      <c r="A1045" s="527"/>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9"/>
      <c r="Z1045" s="422"/>
      <c r="AA1045" s="422"/>
      <c r="AB1045" s="422"/>
      <c r="AC1045" s="422"/>
      <c r="AD1045" s="422"/>
      <c r="AE1045" s="422"/>
      <c r="AF1045" s="422"/>
      <c r="AG1045" s="422"/>
      <c r="AH1045" s="422"/>
      <c r="AI1045" s="422"/>
      <c r="AJ1045" s="422"/>
      <c r="AK1045" s="422"/>
      <c r="AL1045" s="422"/>
      <c r="AM1045" s="306"/>
    </row>
    <row r="1046" spans="1:39" ht="15" hidden="1" customHeight="1" outlineLevel="1">
      <c r="A1046" s="527">
        <v>22</v>
      </c>
      <c r="B1046" s="425" t="s">
        <v>114</v>
      </c>
      <c r="C1046" s="291" t="s">
        <v>25</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09"/>
      <c r="Z1046" s="409"/>
      <c r="AA1046" s="409"/>
      <c r="AB1046" s="409"/>
      <c r="AC1046" s="409"/>
      <c r="AD1046" s="409"/>
      <c r="AE1046" s="409"/>
      <c r="AF1046" s="409"/>
      <c r="AG1046" s="409"/>
      <c r="AH1046" s="409"/>
      <c r="AI1046" s="409"/>
      <c r="AJ1046" s="409"/>
      <c r="AK1046" s="409"/>
      <c r="AL1046" s="409"/>
      <c r="AM1046" s="296">
        <f>SUM(Y1046:AL1046)</f>
        <v>0</v>
      </c>
    </row>
    <row r="1047" spans="1:39" ht="15" hidden="1" customHeight="1" outlineLevel="1">
      <c r="A1047" s="527"/>
      <c r="B1047" s="294" t="s">
        <v>346</v>
      </c>
      <c r="C1047" s="291" t="s">
        <v>163</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f>Y1046</f>
        <v>0</v>
      </c>
      <c r="Z1047" s="410">
        <f t="shared" ref="Z1047" si="3067">Z1046</f>
        <v>0</v>
      </c>
      <c r="AA1047" s="410">
        <f t="shared" ref="AA1047" si="3068">AA1046</f>
        <v>0</v>
      </c>
      <c r="AB1047" s="410">
        <f t="shared" ref="AB1047" si="3069">AB1046</f>
        <v>0</v>
      </c>
      <c r="AC1047" s="410">
        <f t="shared" ref="AC1047" si="3070">AC1046</f>
        <v>0</v>
      </c>
      <c r="AD1047" s="410">
        <f t="shared" ref="AD1047" si="3071">AD1046</f>
        <v>0</v>
      </c>
      <c r="AE1047" s="410">
        <f t="shared" ref="AE1047" si="3072">AE1046</f>
        <v>0</v>
      </c>
      <c r="AF1047" s="410">
        <f t="shared" ref="AF1047" si="3073">AF1046</f>
        <v>0</v>
      </c>
      <c r="AG1047" s="410">
        <f t="shared" ref="AG1047" si="3074">AG1046</f>
        <v>0</v>
      </c>
      <c r="AH1047" s="410">
        <f t="shared" ref="AH1047" si="3075">AH1046</f>
        <v>0</v>
      </c>
      <c r="AI1047" s="410">
        <f t="shared" ref="AI1047" si="3076">AI1046</f>
        <v>0</v>
      </c>
      <c r="AJ1047" s="410">
        <f t="shared" ref="AJ1047" si="3077">AJ1046</f>
        <v>0</v>
      </c>
      <c r="AK1047" s="410">
        <f t="shared" ref="AK1047" si="3078">AK1046</f>
        <v>0</v>
      </c>
      <c r="AL1047" s="410">
        <f t="shared" ref="AL1047" si="3079">AL1046</f>
        <v>0</v>
      </c>
      <c r="AM1047" s="306"/>
    </row>
    <row r="1048" spans="1:39" ht="15" hidden="1" customHeight="1" outlineLevel="1">
      <c r="A1048" s="527"/>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9"/>
      <c r="Z1048" s="422"/>
      <c r="AA1048" s="422"/>
      <c r="AB1048" s="422"/>
      <c r="AC1048" s="422"/>
      <c r="AD1048" s="422"/>
      <c r="AE1048" s="422"/>
      <c r="AF1048" s="422"/>
      <c r="AG1048" s="422"/>
      <c r="AH1048" s="422"/>
      <c r="AI1048" s="422"/>
      <c r="AJ1048" s="422"/>
      <c r="AK1048" s="422"/>
      <c r="AL1048" s="422"/>
      <c r="AM1048" s="306"/>
    </row>
    <row r="1049" spans="1:39" ht="15" hidden="1" customHeight="1" outlineLevel="1">
      <c r="A1049" s="527">
        <v>23</v>
      </c>
      <c r="B1049" s="425" t="s">
        <v>115</v>
      </c>
      <c r="C1049" s="291" t="s">
        <v>25</v>
      </c>
      <c r="D1049" s="295"/>
      <c r="E1049" s="295"/>
      <c r="F1049" s="295"/>
      <c r="G1049" s="295"/>
      <c r="H1049" s="295"/>
      <c r="I1049" s="295"/>
      <c r="J1049" s="295"/>
      <c r="K1049" s="295"/>
      <c r="L1049" s="295"/>
      <c r="M1049" s="295"/>
      <c r="N1049" s="291"/>
      <c r="O1049" s="295"/>
      <c r="P1049" s="295"/>
      <c r="Q1049" s="295"/>
      <c r="R1049" s="295"/>
      <c r="S1049" s="295"/>
      <c r="T1049" s="295"/>
      <c r="U1049" s="295"/>
      <c r="V1049" s="295"/>
      <c r="W1049" s="295"/>
      <c r="X1049" s="295"/>
      <c r="Y1049" s="409"/>
      <c r="Z1049" s="409"/>
      <c r="AA1049" s="409"/>
      <c r="AB1049" s="409"/>
      <c r="AC1049" s="409"/>
      <c r="AD1049" s="409"/>
      <c r="AE1049" s="409"/>
      <c r="AF1049" s="409"/>
      <c r="AG1049" s="409"/>
      <c r="AH1049" s="409"/>
      <c r="AI1049" s="409"/>
      <c r="AJ1049" s="409"/>
      <c r="AK1049" s="409"/>
      <c r="AL1049" s="409"/>
      <c r="AM1049" s="296">
        <f>SUM(Y1049:AL1049)</f>
        <v>0</v>
      </c>
    </row>
    <row r="1050" spans="1:39" ht="15" hidden="1" customHeight="1" outlineLevel="1">
      <c r="A1050" s="527"/>
      <c r="B1050" s="294" t="s">
        <v>346</v>
      </c>
      <c r="C1050" s="291" t="s">
        <v>163</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f>Y1049</f>
        <v>0</v>
      </c>
      <c r="Z1050" s="410">
        <f t="shared" ref="Z1050" si="3080">Z1049</f>
        <v>0</v>
      </c>
      <c r="AA1050" s="410">
        <f t="shared" ref="AA1050" si="3081">AA1049</f>
        <v>0</v>
      </c>
      <c r="AB1050" s="410">
        <f t="shared" ref="AB1050" si="3082">AB1049</f>
        <v>0</v>
      </c>
      <c r="AC1050" s="410">
        <f t="shared" ref="AC1050" si="3083">AC1049</f>
        <v>0</v>
      </c>
      <c r="AD1050" s="410">
        <f t="shared" ref="AD1050" si="3084">AD1049</f>
        <v>0</v>
      </c>
      <c r="AE1050" s="410">
        <f t="shared" ref="AE1050" si="3085">AE1049</f>
        <v>0</v>
      </c>
      <c r="AF1050" s="410">
        <f t="shared" ref="AF1050" si="3086">AF1049</f>
        <v>0</v>
      </c>
      <c r="AG1050" s="410">
        <f t="shared" ref="AG1050" si="3087">AG1049</f>
        <v>0</v>
      </c>
      <c r="AH1050" s="410">
        <f t="shared" ref="AH1050" si="3088">AH1049</f>
        <v>0</v>
      </c>
      <c r="AI1050" s="410">
        <f t="shared" ref="AI1050" si="3089">AI1049</f>
        <v>0</v>
      </c>
      <c r="AJ1050" s="410">
        <f t="shared" ref="AJ1050" si="3090">AJ1049</f>
        <v>0</v>
      </c>
      <c r="AK1050" s="410">
        <f t="shared" ref="AK1050" si="3091">AK1049</f>
        <v>0</v>
      </c>
      <c r="AL1050" s="410">
        <f t="shared" ref="AL1050" si="3092">AL1049</f>
        <v>0</v>
      </c>
      <c r="AM1050" s="306"/>
    </row>
    <row r="1051" spans="1:39" ht="15" hidden="1" customHeight="1" outlineLevel="1">
      <c r="A1051" s="527"/>
      <c r="B1051" s="427"/>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9"/>
      <c r="Z1051" s="422"/>
      <c r="AA1051" s="422"/>
      <c r="AB1051" s="422"/>
      <c r="AC1051" s="422"/>
      <c r="AD1051" s="422"/>
      <c r="AE1051" s="422"/>
      <c r="AF1051" s="422"/>
      <c r="AG1051" s="422"/>
      <c r="AH1051" s="422"/>
      <c r="AI1051" s="422"/>
      <c r="AJ1051" s="422"/>
      <c r="AK1051" s="422"/>
      <c r="AL1051" s="422"/>
      <c r="AM1051" s="306"/>
    </row>
    <row r="1052" spans="1:39" ht="15" hidden="1" customHeight="1" outlineLevel="1">
      <c r="A1052" s="527">
        <v>24</v>
      </c>
      <c r="B1052" s="425" t="s">
        <v>116</v>
      </c>
      <c r="C1052" s="291" t="s">
        <v>25</v>
      </c>
      <c r="D1052" s="295"/>
      <c r="E1052" s="295"/>
      <c r="F1052" s="295"/>
      <c r="G1052" s="295"/>
      <c r="H1052" s="295"/>
      <c r="I1052" s="295"/>
      <c r="J1052" s="295"/>
      <c r="K1052" s="295"/>
      <c r="L1052" s="295"/>
      <c r="M1052" s="295"/>
      <c r="N1052" s="291"/>
      <c r="O1052" s="295"/>
      <c r="P1052" s="295"/>
      <c r="Q1052" s="295"/>
      <c r="R1052" s="295"/>
      <c r="S1052" s="295"/>
      <c r="T1052" s="295"/>
      <c r="U1052" s="295"/>
      <c r="V1052" s="295"/>
      <c r="W1052" s="295"/>
      <c r="X1052" s="295"/>
      <c r="Y1052" s="409"/>
      <c r="Z1052" s="409"/>
      <c r="AA1052" s="409"/>
      <c r="AB1052" s="409"/>
      <c r="AC1052" s="409"/>
      <c r="AD1052" s="409"/>
      <c r="AE1052" s="409"/>
      <c r="AF1052" s="409"/>
      <c r="AG1052" s="409"/>
      <c r="AH1052" s="409"/>
      <c r="AI1052" s="409"/>
      <c r="AJ1052" s="409"/>
      <c r="AK1052" s="409"/>
      <c r="AL1052" s="409"/>
      <c r="AM1052" s="296">
        <f>SUM(Y1052:AL1052)</f>
        <v>0</v>
      </c>
    </row>
    <row r="1053" spans="1:39" ht="15" hidden="1" customHeight="1" outlineLevel="1">
      <c r="A1053" s="527"/>
      <c r="B1053" s="294" t="s">
        <v>346</v>
      </c>
      <c r="C1053" s="291" t="s">
        <v>163</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10">
        <f>Y1052</f>
        <v>0</v>
      </c>
      <c r="Z1053" s="410">
        <f t="shared" ref="Z1053" si="3093">Z1052</f>
        <v>0</v>
      </c>
      <c r="AA1053" s="410">
        <f t="shared" ref="AA1053" si="3094">AA1052</f>
        <v>0</v>
      </c>
      <c r="AB1053" s="410">
        <f t="shared" ref="AB1053" si="3095">AB1052</f>
        <v>0</v>
      </c>
      <c r="AC1053" s="410">
        <f t="shared" ref="AC1053" si="3096">AC1052</f>
        <v>0</v>
      </c>
      <c r="AD1053" s="410">
        <f t="shared" ref="AD1053" si="3097">AD1052</f>
        <v>0</v>
      </c>
      <c r="AE1053" s="410">
        <f t="shared" ref="AE1053" si="3098">AE1052</f>
        <v>0</v>
      </c>
      <c r="AF1053" s="410">
        <f t="shared" ref="AF1053" si="3099">AF1052</f>
        <v>0</v>
      </c>
      <c r="AG1053" s="410">
        <f t="shared" ref="AG1053" si="3100">AG1052</f>
        <v>0</v>
      </c>
      <c r="AH1053" s="410">
        <f t="shared" ref="AH1053" si="3101">AH1052</f>
        <v>0</v>
      </c>
      <c r="AI1053" s="410">
        <f t="shared" ref="AI1053" si="3102">AI1052</f>
        <v>0</v>
      </c>
      <c r="AJ1053" s="410">
        <f t="shared" ref="AJ1053" si="3103">AJ1052</f>
        <v>0</v>
      </c>
      <c r="AK1053" s="410">
        <f t="shared" ref="AK1053" si="3104">AK1052</f>
        <v>0</v>
      </c>
      <c r="AL1053" s="410">
        <f t="shared" ref="AL1053" si="3105">AL1052</f>
        <v>0</v>
      </c>
      <c r="AM1053" s="306"/>
    </row>
    <row r="1054" spans="1:39" ht="15" hidden="1" customHeight="1" outlineLevel="1">
      <c r="A1054" s="527"/>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1"/>
      <c r="Z1054" s="422"/>
      <c r="AA1054" s="422"/>
      <c r="AB1054" s="422"/>
      <c r="AC1054" s="422"/>
      <c r="AD1054" s="422"/>
      <c r="AE1054" s="422"/>
      <c r="AF1054" s="422"/>
      <c r="AG1054" s="422"/>
      <c r="AH1054" s="422"/>
      <c r="AI1054" s="422"/>
      <c r="AJ1054" s="422"/>
      <c r="AK1054" s="422"/>
      <c r="AL1054" s="422"/>
      <c r="AM1054" s="306"/>
    </row>
    <row r="1055" spans="1:39" ht="15" hidden="1" customHeight="1" outlineLevel="1">
      <c r="A1055" s="527"/>
      <c r="B1055" s="288" t="s">
        <v>500</v>
      </c>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1"/>
      <c r="Z1055" s="422"/>
      <c r="AA1055" s="422"/>
      <c r="AB1055" s="422"/>
      <c r="AC1055" s="422"/>
      <c r="AD1055" s="422"/>
      <c r="AE1055" s="422"/>
      <c r="AF1055" s="422"/>
      <c r="AG1055" s="422"/>
      <c r="AH1055" s="422"/>
      <c r="AI1055" s="422"/>
      <c r="AJ1055" s="422"/>
      <c r="AK1055" s="422"/>
      <c r="AL1055" s="422"/>
      <c r="AM1055" s="306"/>
    </row>
    <row r="1056" spans="1:39" ht="15" hidden="1" customHeight="1" outlineLevel="1">
      <c r="A1056" s="527">
        <v>25</v>
      </c>
      <c r="B1056" s="425" t="s">
        <v>117</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3"/>
      <c r="Z1056" s="414"/>
      <c r="AA1056" s="414"/>
      <c r="AB1056" s="414"/>
      <c r="AC1056" s="414"/>
      <c r="AD1056" s="414"/>
      <c r="AE1056" s="414"/>
      <c r="AF1056" s="414"/>
      <c r="AG1056" s="414"/>
      <c r="AH1056" s="414"/>
      <c r="AI1056" s="414"/>
      <c r="AJ1056" s="414"/>
      <c r="AK1056" s="414"/>
      <c r="AL1056" s="414"/>
      <c r="AM1056" s="296">
        <f>SUM(Y1056:AL1056)</f>
        <v>0</v>
      </c>
    </row>
    <row r="1057" spans="1:39" ht="15" hidden="1" customHeight="1" outlineLevel="1">
      <c r="A1057" s="527"/>
      <c r="B1057" s="294" t="s">
        <v>346</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0">
        <f>Y1056</f>
        <v>0</v>
      </c>
      <c r="Z1057" s="410">
        <f t="shared" ref="Z1057" si="3106">Z1056</f>
        <v>0</v>
      </c>
      <c r="AA1057" s="410">
        <f t="shared" ref="AA1057" si="3107">AA1056</f>
        <v>0</v>
      </c>
      <c r="AB1057" s="410">
        <f t="shared" ref="AB1057" si="3108">AB1056</f>
        <v>0</v>
      </c>
      <c r="AC1057" s="410">
        <f t="shared" ref="AC1057" si="3109">AC1056</f>
        <v>0</v>
      </c>
      <c r="AD1057" s="410">
        <f t="shared" ref="AD1057" si="3110">AD1056</f>
        <v>0</v>
      </c>
      <c r="AE1057" s="410">
        <f t="shared" ref="AE1057" si="3111">AE1056</f>
        <v>0</v>
      </c>
      <c r="AF1057" s="410">
        <f t="shared" ref="AF1057" si="3112">AF1056</f>
        <v>0</v>
      </c>
      <c r="AG1057" s="410">
        <f t="shared" ref="AG1057" si="3113">AG1056</f>
        <v>0</v>
      </c>
      <c r="AH1057" s="410">
        <f t="shared" ref="AH1057" si="3114">AH1056</f>
        <v>0</v>
      </c>
      <c r="AI1057" s="410">
        <f t="shared" ref="AI1057" si="3115">AI1056</f>
        <v>0</v>
      </c>
      <c r="AJ1057" s="410">
        <f t="shared" ref="AJ1057" si="3116">AJ1056</f>
        <v>0</v>
      </c>
      <c r="AK1057" s="410">
        <f t="shared" ref="AK1057" si="3117">AK1056</f>
        <v>0</v>
      </c>
      <c r="AL1057" s="410">
        <f t="shared" ref="AL1057" si="3118">AL1056</f>
        <v>0</v>
      </c>
      <c r="AM1057" s="306"/>
    </row>
    <row r="1058" spans="1:39" ht="15" hidden="1" customHeight="1" outlineLevel="1">
      <c r="A1058" s="527"/>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1"/>
      <c r="Z1058" s="422"/>
      <c r="AA1058" s="422"/>
      <c r="AB1058" s="422"/>
      <c r="AC1058" s="422"/>
      <c r="AD1058" s="422"/>
      <c r="AE1058" s="422"/>
      <c r="AF1058" s="422"/>
      <c r="AG1058" s="422"/>
      <c r="AH1058" s="422"/>
      <c r="AI1058" s="422"/>
      <c r="AJ1058" s="422"/>
      <c r="AK1058" s="422"/>
      <c r="AL1058" s="422"/>
      <c r="AM1058" s="306"/>
    </row>
    <row r="1059" spans="1:39" ht="15" hidden="1" customHeight="1" outlineLevel="1">
      <c r="A1059" s="527">
        <v>26</v>
      </c>
      <c r="B1059" s="425" t="s">
        <v>118</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3"/>
      <c r="Z1059" s="414"/>
      <c r="AA1059" s="414"/>
      <c r="AB1059" s="414"/>
      <c r="AC1059" s="414"/>
      <c r="AD1059" s="414"/>
      <c r="AE1059" s="414"/>
      <c r="AF1059" s="414"/>
      <c r="AG1059" s="414"/>
      <c r="AH1059" s="414"/>
      <c r="AI1059" s="414"/>
      <c r="AJ1059" s="414"/>
      <c r="AK1059" s="414"/>
      <c r="AL1059" s="414"/>
      <c r="AM1059" s="296">
        <f>SUM(Y1059:AL1059)</f>
        <v>0</v>
      </c>
    </row>
    <row r="1060" spans="1:39" ht="15" hidden="1" customHeight="1" outlineLevel="1">
      <c r="A1060" s="527"/>
      <c r="B1060" s="294" t="s">
        <v>346</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0">
        <f>Y1059</f>
        <v>0</v>
      </c>
      <c r="Z1060" s="410">
        <f t="shared" ref="Z1060" si="3119">Z1059</f>
        <v>0</v>
      </c>
      <c r="AA1060" s="410">
        <f t="shared" ref="AA1060" si="3120">AA1059</f>
        <v>0</v>
      </c>
      <c r="AB1060" s="410">
        <f t="shared" ref="AB1060" si="3121">AB1059</f>
        <v>0</v>
      </c>
      <c r="AC1060" s="410">
        <f t="shared" ref="AC1060" si="3122">AC1059</f>
        <v>0</v>
      </c>
      <c r="AD1060" s="410">
        <f t="shared" ref="AD1060" si="3123">AD1059</f>
        <v>0</v>
      </c>
      <c r="AE1060" s="410">
        <f t="shared" ref="AE1060" si="3124">AE1059</f>
        <v>0</v>
      </c>
      <c r="AF1060" s="410">
        <f t="shared" ref="AF1060" si="3125">AF1059</f>
        <v>0</v>
      </c>
      <c r="AG1060" s="410">
        <f t="shared" ref="AG1060" si="3126">AG1059</f>
        <v>0</v>
      </c>
      <c r="AH1060" s="410">
        <f t="shared" ref="AH1060" si="3127">AH1059</f>
        <v>0</v>
      </c>
      <c r="AI1060" s="410">
        <f t="shared" ref="AI1060" si="3128">AI1059</f>
        <v>0</v>
      </c>
      <c r="AJ1060" s="410">
        <f t="shared" ref="AJ1060" si="3129">AJ1059</f>
        <v>0</v>
      </c>
      <c r="AK1060" s="410">
        <f t="shared" ref="AK1060" si="3130">AK1059</f>
        <v>0</v>
      </c>
      <c r="AL1060" s="410">
        <f t="shared" ref="AL1060" si="3131">AL1059</f>
        <v>0</v>
      </c>
      <c r="AM1060" s="306"/>
    </row>
    <row r="1061" spans="1:39" ht="15" hidden="1" customHeight="1" outlineLevel="1">
      <c r="A1061" s="527"/>
      <c r="B1061" s="294"/>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1"/>
      <c r="Z1061" s="422"/>
      <c r="AA1061" s="422"/>
      <c r="AB1061" s="422"/>
      <c r="AC1061" s="422"/>
      <c r="AD1061" s="422"/>
      <c r="AE1061" s="422"/>
      <c r="AF1061" s="422"/>
      <c r="AG1061" s="422"/>
      <c r="AH1061" s="422"/>
      <c r="AI1061" s="422"/>
      <c r="AJ1061" s="422"/>
      <c r="AK1061" s="422"/>
      <c r="AL1061" s="422"/>
      <c r="AM1061" s="306"/>
    </row>
    <row r="1062" spans="1:39" ht="15" hidden="1" customHeight="1" outlineLevel="1">
      <c r="A1062" s="527">
        <v>27</v>
      </c>
      <c r="B1062" s="425" t="s">
        <v>119</v>
      </c>
      <c r="C1062" s="291" t="s">
        <v>25</v>
      </c>
      <c r="D1062" s="295"/>
      <c r="E1062" s="295"/>
      <c r="F1062" s="295"/>
      <c r="G1062" s="295"/>
      <c r="H1062" s="295"/>
      <c r="I1062" s="295"/>
      <c r="J1062" s="295"/>
      <c r="K1062" s="295"/>
      <c r="L1062" s="295"/>
      <c r="M1062" s="295"/>
      <c r="N1062" s="295">
        <v>12</v>
      </c>
      <c r="O1062" s="295"/>
      <c r="P1062" s="295"/>
      <c r="Q1062" s="295"/>
      <c r="R1062" s="295"/>
      <c r="S1062" s="295"/>
      <c r="T1062" s="295"/>
      <c r="U1062" s="295"/>
      <c r="V1062" s="295"/>
      <c r="W1062" s="295"/>
      <c r="X1062" s="295"/>
      <c r="Y1062" s="423"/>
      <c r="Z1062" s="414"/>
      <c r="AA1062" s="414"/>
      <c r="AB1062" s="414"/>
      <c r="AC1062" s="414"/>
      <c r="AD1062" s="414"/>
      <c r="AE1062" s="414"/>
      <c r="AF1062" s="414"/>
      <c r="AG1062" s="414"/>
      <c r="AH1062" s="414"/>
      <c r="AI1062" s="414"/>
      <c r="AJ1062" s="414"/>
      <c r="AK1062" s="414"/>
      <c r="AL1062" s="414"/>
      <c r="AM1062" s="296">
        <f>SUM(Y1062:AL1062)</f>
        <v>0</v>
      </c>
    </row>
    <row r="1063" spans="1:39" ht="15" hidden="1" customHeight="1" outlineLevel="1">
      <c r="A1063" s="527"/>
      <c r="B1063" s="294" t="s">
        <v>346</v>
      </c>
      <c r="C1063" s="291" t="s">
        <v>163</v>
      </c>
      <c r="D1063" s="295"/>
      <c r="E1063" s="295"/>
      <c r="F1063" s="295"/>
      <c r="G1063" s="295"/>
      <c r="H1063" s="295"/>
      <c r="I1063" s="295"/>
      <c r="J1063" s="295"/>
      <c r="K1063" s="295"/>
      <c r="L1063" s="295"/>
      <c r="M1063" s="295"/>
      <c r="N1063" s="295">
        <f>N1062</f>
        <v>12</v>
      </c>
      <c r="O1063" s="295"/>
      <c r="P1063" s="295"/>
      <c r="Q1063" s="295"/>
      <c r="R1063" s="295"/>
      <c r="S1063" s="295"/>
      <c r="T1063" s="295"/>
      <c r="U1063" s="295"/>
      <c r="V1063" s="295"/>
      <c r="W1063" s="295"/>
      <c r="X1063" s="295"/>
      <c r="Y1063" s="410">
        <f>Y1062</f>
        <v>0</v>
      </c>
      <c r="Z1063" s="410">
        <f t="shared" ref="Z1063" si="3132">Z1062</f>
        <v>0</v>
      </c>
      <c r="AA1063" s="410">
        <f t="shared" ref="AA1063" si="3133">AA1062</f>
        <v>0</v>
      </c>
      <c r="AB1063" s="410">
        <f t="shared" ref="AB1063" si="3134">AB1062</f>
        <v>0</v>
      </c>
      <c r="AC1063" s="410">
        <f t="shared" ref="AC1063" si="3135">AC1062</f>
        <v>0</v>
      </c>
      <c r="AD1063" s="410">
        <f t="shared" ref="AD1063" si="3136">AD1062</f>
        <v>0</v>
      </c>
      <c r="AE1063" s="410">
        <f t="shared" ref="AE1063" si="3137">AE1062</f>
        <v>0</v>
      </c>
      <c r="AF1063" s="410">
        <f t="shared" ref="AF1063" si="3138">AF1062</f>
        <v>0</v>
      </c>
      <c r="AG1063" s="410">
        <f t="shared" ref="AG1063" si="3139">AG1062</f>
        <v>0</v>
      </c>
      <c r="AH1063" s="410">
        <f t="shared" ref="AH1063" si="3140">AH1062</f>
        <v>0</v>
      </c>
      <c r="AI1063" s="410">
        <f t="shared" ref="AI1063" si="3141">AI1062</f>
        <v>0</v>
      </c>
      <c r="AJ1063" s="410">
        <f t="shared" ref="AJ1063" si="3142">AJ1062</f>
        <v>0</v>
      </c>
      <c r="AK1063" s="410">
        <f t="shared" ref="AK1063" si="3143">AK1062</f>
        <v>0</v>
      </c>
      <c r="AL1063" s="410">
        <f t="shared" ref="AL1063" si="3144">AL1062</f>
        <v>0</v>
      </c>
      <c r="AM1063" s="306"/>
    </row>
    <row r="1064" spans="1:39" ht="15" hidden="1" customHeight="1" outlineLevel="1">
      <c r="A1064" s="527"/>
      <c r="B1064" s="294"/>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1"/>
      <c r="Z1064" s="422"/>
      <c r="AA1064" s="422"/>
      <c r="AB1064" s="422"/>
      <c r="AC1064" s="422"/>
      <c r="AD1064" s="422"/>
      <c r="AE1064" s="422"/>
      <c r="AF1064" s="422"/>
      <c r="AG1064" s="422"/>
      <c r="AH1064" s="422"/>
      <c r="AI1064" s="422"/>
      <c r="AJ1064" s="422"/>
      <c r="AK1064" s="422"/>
      <c r="AL1064" s="422"/>
      <c r="AM1064" s="306"/>
    </row>
    <row r="1065" spans="1:39" ht="15" hidden="1" customHeight="1" outlineLevel="1">
      <c r="A1065" s="527">
        <v>28</v>
      </c>
      <c r="B1065" s="425" t="s">
        <v>120</v>
      </c>
      <c r="C1065" s="291" t="s">
        <v>25</v>
      </c>
      <c r="D1065" s="295"/>
      <c r="E1065" s="295"/>
      <c r="F1065" s="295"/>
      <c r="G1065" s="295"/>
      <c r="H1065" s="295"/>
      <c r="I1065" s="295"/>
      <c r="J1065" s="295"/>
      <c r="K1065" s="295"/>
      <c r="L1065" s="295"/>
      <c r="M1065" s="295"/>
      <c r="N1065" s="295">
        <v>12</v>
      </c>
      <c r="O1065" s="295"/>
      <c r="P1065" s="295"/>
      <c r="Q1065" s="295"/>
      <c r="R1065" s="295"/>
      <c r="S1065" s="295"/>
      <c r="T1065" s="295"/>
      <c r="U1065" s="295"/>
      <c r="V1065" s="295"/>
      <c r="W1065" s="295"/>
      <c r="X1065" s="295"/>
      <c r="Y1065" s="423"/>
      <c r="Z1065" s="414"/>
      <c r="AA1065" s="414"/>
      <c r="AB1065" s="414"/>
      <c r="AC1065" s="414"/>
      <c r="AD1065" s="414"/>
      <c r="AE1065" s="414"/>
      <c r="AF1065" s="414"/>
      <c r="AG1065" s="414"/>
      <c r="AH1065" s="414"/>
      <c r="AI1065" s="414"/>
      <c r="AJ1065" s="414"/>
      <c r="AK1065" s="414"/>
      <c r="AL1065" s="414"/>
      <c r="AM1065" s="296">
        <f>SUM(Y1065:AL1065)</f>
        <v>0</v>
      </c>
    </row>
    <row r="1066" spans="1:39" ht="15" hidden="1" customHeight="1" outlineLevel="1">
      <c r="A1066" s="527"/>
      <c r="B1066" s="294" t="s">
        <v>346</v>
      </c>
      <c r="C1066" s="291" t="s">
        <v>163</v>
      </c>
      <c r="D1066" s="295"/>
      <c r="E1066" s="295"/>
      <c r="F1066" s="295"/>
      <c r="G1066" s="295"/>
      <c r="H1066" s="295"/>
      <c r="I1066" s="295"/>
      <c r="J1066" s="295"/>
      <c r="K1066" s="295"/>
      <c r="L1066" s="295"/>
      <c r="M1066" s="295"/>
      <c r="N1066" s="295">
        <f>N1065</f>
        <v>12</v>
      </c>
      <c r="O1066" s="295"/>
      <c r="P1066" s="295"/>
      <c r="Q1066" s="295"/>
      <c r="R1066" s="295"/>
      <c r="S1066" s="295"/>
      <c r="T1066" s="295"/>
      <c r="U1066" s="295"/>
      <c r="V1066" s="295"/>
      <c r="W1066" s="295"/>
      <c r="X1066" s="295"/>
      <c r="Y1066" s="410">
        <f>Y1065</f>
        <v>0</v>
      </c>
      <c r="Z1066" s="410">
        <f>Z1065</f>
        <v>0</v>
      </c>
      <c r="AA1066" s="410">
        <f t="shared" ref="AA1066" si="3145">AA1065</f>
        <v>0</v>
      </c>
      <c r="AB1066" s="410">
        <f t="shared" ref="AB1066" si="3146">AB1065</f>
        <v>0</v>
      </c>
      <c r="AC1066" s="410">
        <f t="shared" ref="AC1066" si="3147">AC1065</f>
        <v>0</v>
      </c>
      <c r="AD1066" s="410">
        <f t="shared" ref="AD1066" si="3148">AD1065</f>
        <v>0</v>
      </c>
      <c r="AE1066" s="410">
        <f>AE1065</f>
        <v>0</v>
      </c>
      <c r="AF1066" s="410">
        <f t="shared" ref="AF1066" si="3149">AF1065</f>
        <v>0</v>
      </c>
      <c r="AG1066" s="410">
        <f t="shared" ref="AG1066" si="3150">AG1065</f>
        <v>0</v>
      </c>
      <c r="AH1066" s="410">
        <f t="shared" ref="AH1066" si="3151">AH1065</f>
        <v>0</v>
      </c>
      <c r="AI1066" s="410">
        <f t="shared" ref="AI1066" si="3152">AI1065</f>
        <v>0</v>
      </c>
      <c r="AJ1066" s="410">
        <f t="shared" ref="AJ1066" si="3153">AJ1065</f>
        <v>0</v>
      </c>
      <c r="AK1066" s="410">
        <f t="shared" ref="AK1066" si="3154">AK1065</f>
        <v>0</v>
      </c>
      <c r="AL1066" s="410">
        <f t="shared" ref="AL1066" si="3155">AL1065</f>
        <v>0</v>
      </c>
      <c r="AM1066" s="306"/>
    </row>
    <row r="1067" spans="1:39" ht="15" hidden="1" customHeight="1" outlineLevel="1">
      <c r="A1067" s="527"/>
      <c r="B1067" s="294"/>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1"/>
      <c r="Z1067" s="422"/>
      <c r="AA1067" s="422"/>
      <c r="AB1067" s="422"/>
      <c r="AC1067" s="422"/>
      <c r="AD1067" s="422"/>
      <c r="AE1067" s="422"/>
      <c r="AF1067" s="422"/>
      <c r="AG1067" s="422"/>
      <c r="AH1067" s="422"/>
      <c r="AI1067" s="422"/>
      <c r="AJ1067" s="422"/>
      <c r="AK1067" s="422"/>
      <c r="AL1067" s="422"/>
      <c r="AM1067" s="306"/>
    </row>
    <row r="1068" spans="1:39" ht="15" hidden="1" customHeight="1" outlineLevel="1">
      <c r="A1068" s="527">
        <v>29</v>
      </c>
      <c r="B1068" s="425" t="s">
        <v>121</v>
      </c>
      <c r="C1068" s="291" t="s">
        <v>25</v>
      </c>
      <c r="D1068" s="295"/>
      <c r="E1068" s="295"/>
      <c r="F1068" s="295"/>
      <c r="G1068" s="295"/>
      <c r="H1068" s="295"/>
      <c r="I1068" s="295"/>
      <c r="J1068" s="295"/>
      <c r="K1068" s="295"/>
      <c r="L1068" s="295"/>
      <c r="M1068" s="295"/>
      <c r="N1068" s="295">
        <v>3</v>
      </c>
      <c r="O1068" s="295"/>
      <c r="P1068" s="295"/>
      <c r="Q1068" s="295"/>
      <c r="R1068" s="295"/>
      <c r="S1068" s="295"/>
      <c r="T1068" s="295"/>
      <c r="U1068" s="295"/>
      <c r="V1068" s="295"/>
      <c r="W1068" s="295"/>
      <c r="X1068" s="295"/>
      <c r="Y1068" s="423"/>
      <c r="Z1068" s="414"/>
      <c r="AA1068" s="414"/>
      <c r="AB1068" s="414"/>
      <c r="AC1068" s="414"/>
      <c r="AD1068" s="414"/>
      <c r="AE1068" s="414"/>
      <c r="AF1068" s="414"/>
      <c r="AG1068" s="414"/>
      <c r="AH1068" s="414"/>
      <c r="AI1068" s="414"/>
      <c r="AJ1068" s="414"/>
      <c r="AK1068" s="414"/>
      <c r="AL1068" s="414"/>
      <c r="AM1068" s="296">
        <f>SUM(Y1068:AL1068)</f>
        <v>0</v>
      </c>
    </row>
    <row r="1069" spans="1:39" ht="15" hidden="1" customHeight="1" outlineLevel="1">
      <c r="A1069" s="527"/>
      <c r="B1069" s="294" t="s">
        <v>346</v>
      </c>
      <c r="C1069" s="291" t="s">
        <v>163</v>
      </c>
      <c r="D1069" s="295"/>
      <c r="E1069" s="295"/>
      <c r="F1069" s="295"/>
      <c r="G1069" s="295"/>
      <c r="H1069" s="295"/>
      <c r="I1069" s="295"/>
      <c r="J1069" s="295"/>
      <c r="K1069" s="295"/>
      <c r="L1069" s="295"/>
      <c r="M1069" s="295"/>
      <c r="N1069" s="295">
        <f>N1068</f>
        <v>3</v>
      </c>
      <c r="O1069" s="295"/>
      <c r="P1069" s="295"/>
      <c r="Q1069" s="295"/>
      <c r="R1069" s="295"/>
      <c r="S1069" s="295"/>
      <c r="T1069" s="295"/>
      <c r="U1069" s="295"/>
      <c r="V1069" s="295"/>
      <c r="W1069" s="295"/>
      <c r="X1069" s="295"/>
      <c r="Y1069" s="410">
        <f>Y1068</f>
        <v>0</v>
      </c>
      <c r="Z1069" s="410">
        <f t="shared" ref="Z1069" si="3156">Z1068</f>
        <v>0</v>
      </c>
      <c r="AA1069" s="410">
        <f t="shared" ref="AA1069" si="3157">AA1068</f>
        <v>0</v>
      </c>
      <c r="AB1069" s="410">
        <f t="shared" ref="AB1069" si="3158">AB1068</f>
        <v>0</v>
      </c>
      <c r="AC1069" s="410">
        <f t="shared" ref="AC1069" si="3159">AC1068</f>
        <v>0</v>
      </c>
      <c r="AD1069" s="410">
        <f t="shared" ref="AD1069" si="3160">AD1068</f>
        <v>0</v>
      </c>
      <c r="AE1069" s="410">
        <f t="shared" ref="AE1069" si="3161">AE1068</f>
        <v>0</v>
      </c>
      <c r="AF1069" s="410">
        <f t="shared" ref="AF1069" si="3162">AF1068</f>
        <v>0</v>
      </c>
      <c r="AG1069" s="410">
        <f t="shared" ref="AG1069" si="3163">AG1068</f>
        <v>0</v>
      </c>
      <c r="AH1069" s="410">
        <f t="shared" ref="AH1069" si="3164">AH1068</f>
        <v>0</v>
      </c>
      <c r="AI1069" s="410">
        <f t="shared" ref="AI1069" si="3165">AI1068</f>
        <v>0</v>
      </c>
      <c r="AJ1069" s="410">
        <f t="shared" ref="AJ1069" si="3166">AJ1068</f>
        <v>0</v>
      </c>
      <c r="AK1069" s="410">
        <f t="shared" ref="AK1069" si="3167">AK1068</f>
        <v>0</v>
      </c>
      <c r="AL1069" s="410">
        <f t="shared" ref="AL1069" si="3168">AL1068</f>
        <v>0</v>
      </c>
      <c r="AM1069" s="306"/>
    </row>
    <row r="1070" spans="1:39" ht="15" hidden="1" customHeight="1" outlineLevel="1">
      <c r="A1070" s="527"/>
      <c r="B1070" s="294"/>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1"/>
      <c r="Z1070" s="422"/>
      <c r="AA1070" s="422"/>
      <c r="AB1070" s="422"/>
      <c r="AC1070" s="422"/>
      <c r="AD1070" s="422"/>
      <c r="AE1070" s="422"/>
      <c r="AF1070" s="422"/>
      <c r="AG1070" s="422"/>
      <c r="AH1070" s="422"/>
      <c r="AI1070" s="422"/>
      <c r="AJ1070" s="422"/>
      <c r="AK1070" s="422"/>
      <c r="AL1070" s="422"/>
      <c r="AM1070" s="306"/>
    </row>
    <row r="1071" spans="1:39" ht="15" hidden="1" customHeight="1" outlineLevel="1">
      <c r="A1071" s="527">
        <v>30</v>
      </c>
      <c r="B1071" s="425" t="s">
        <v>122</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3"/>
      <c r="Z1071" s="414"/>
      <c r="AA1071" s="414"/>
      <c r="AB1071" s="414"/>
      <c r="AC1071" s="414"/>
      <c r="AD1071" s="414"/>
      <c r="AE1071" s="414"/>
      <c r="AF1071" s="414"/>
      <c r="AG1071" s="414"/>
      <c r="AH1071" s="414"/>
      <c r="AI1071" s="414"/>
      <c r="AJ1071" s="414"/>
      <c r="AK1071" s="414"/>
      <c r="AL1071" s="414"/>
      <c r="AM1071" s="296">
        <f>SUM(Y1071:AL1071)</f>
        <v>0</v>
      </c>
    </row>
    <row r="1072" spans="1:39" ht="15" hidden="1" customHeight="1" outlineLevel="1">
      <c r="A1072" s="527"/>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0">
        <f>Y1071</f>
        <v>0</v>
      </c>
      <c r="Z1072" s="410">
        <f t="shared" ref="Z1072" si="3169">Z1071</f>
        <v>0</v>
      </c>
      <c r="AA1072" s="410">
        <f t="shared" ref="AA1072" si="3170">AA1071</f>
        <v>0</v>
      </c>
      <c r="AB1072" s="410">
        <f t="shared" ref="AB1072" si="3171">AB1071</f>
        <v>0</v>
      </c>
      <c r="AC1072" s="410">
        <f t="shared" ref="AC1072" si="3172">AC1071</f>
        <v>0</v>
      </c>
      <c r="AD1072" s="410">
        <f t="shared" ref="AD1072" si="3173">AD1071</f>
        <v>0</v>
      </c>
      <c r="AE1072" s="410">
        <f t="shared" ref="AE1072" si="3174">AE1071</f>
        <v>0</v>
      </c>
      <c r="AF1072" s="410">
        <f t="shared" ref="AF1072" si="3175">AF1071</f>
        <v>0</v>
      </c>
      <c r="AG1072" s="410">
        <f t="shared" ref="AG1072" si="3176">AG1071</f>
        <v>0</v>
      </c>
      <c r="AH1072" s="410">
        <f t="shared" ref="AH1072" si="3177">AH1071</f>
        <v>0</v>
      </c>
      <c r="AI1072" s="410">
        <f t="shared" ref="AI1072" si="3178">AI1071</f>
        <v>0</v>
      </c>
      <c r="AJ1072" s="410">
        <f t="shared" ref="AJ1072" si="3179">AJ1071</f>
        <v>0</v>
      </c>
      <c r="AK1072" s="410">
        <f t="shared" ref="AK1072" si="3180">AK1071</f>
        <v>0</v>
      </c>
      <c r="AL1072" s="410">
        <f t="shared" ref="AL1072" si="3181">AL1071</f>
        <v>0</v>
      </c>
      <c r="AM1072" s="306"/>
    </row>
    <row r="1073" spans="1:39" ht="15" hidden="1" customHeight="1" outlineLevel="1">
      <c r="A1073" s="527"/>
      <c r="B1073" s="294"/>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1"/>
      <c r="Z1073" s="422"/>
      <c r="AA1073" s="422"/>
      <c r="AB1073" s="422"/>
      <c r="AC1073" s="422"/>
      <c r="AD1073" s="422"/>
      <c r="AE1073" s="422"/>
      <c r="AF1073" s="422"/>
      <c r="AG1073" s="422"/>
      <c r="AH1073" s="422"/>
      <c r="AI1073" s="422"/>
      <c r="AJ1073" s="422"/>
      <c r="AK1073" s="422"/>
      <c r="AL1073" s="422"/>
      <c r="AM1073" s="306"/>
    </row>
    <row r="1074" spans="1:39" ht="15" hidden="1" customHeight="1" outlineLevel="1">
      <c r="A1074" s="527">
        <v>31</v>
      </c>
      <c r="B1074" s="425" t="s">
        <v>123</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3"/>
      <c r="Z1074" s="414"/>
      <c r="AA1074" s="414"/>
      <c r="AB1074" s="414"/>
      <c r="AC1074" s="414"/>
      <c r="AD1074" s="414"/>
      <c r="AE1074" s="414"/>
      <c r="AF1074" s="414"/>
      <c r="AG1074" s="414"/>
      <c r="AH1074" s="414"/>
      <c r="AI1074" s="414"/>
      <c r="AJ1074" s="414"/>
      <c r="AK1074" s="414"/>
      <c r="AL1074" s="414"/>
      <c r="AM1074" s="296">
        <f>SUM(Y1074:AL1074)</f>
        <v>0</v>
      </c>
    </row>
    <row r="1075" spans="1:39" ht="15" hidden="1" customHeight="1" outlineLevel="1">
      <c r="A1075" s="527"/>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0">
        <f>Y1074</f>
        <v>0</v>
      </c>
      <c r="Z1075" s="410">
        <f t="shared" ref="Z1075" si="3182">Z1074</f>
        <v>0</v>
      </c>
      <c r="AA1075" s="410">
        <f t="shared" ref="AA1075" si="3183">AA1074</f>
        <v>0</v>
      </c>
      <c r="AB1075" s="410">
        <f t="shared" ref="AB1075" si="3184">AB1074</f>
        <v>0</v>
      </c>
      <c r="AC1075" s="410">
        <f t="shared" ref="AC1075" si="3185">AC1074</f>
        <v>0</v>
      </c>
      <c r="AD1075" s="410">
        <f t="shared" ref="AD1075" si="3186">AD1074</f>
        <v>0</v>
      </c>
      <c r="AE1075" s="410">
        <f t="shared" ref="AE1075" si="3187">AE1074</f>
        <v>0</v>
      </c>
      <c r="AF1075" s="410">
        <f t="shared" ref="AF1075" si="3188">AF1074</f>
        <v>0</v>
      </c>
      <c r="AG1075" s="410">
        <f t="shared" ref="AG1075" si="3189">AG1074</f>
        <v>0</v>
      </c>
      <c r="AH1075" s="410">
        <f t="shared" ref="AH1075" si="3190">AH1074</f>
        <v>0</v>
      </c>
      <c r="AI1075" s="410">
        <f t="shared" ref="AI1075" si="3191">AI1074</f>
        <v>0</v>
      </c>
      <c r="AJ1075" s="410">
        <f t="shared" ref="AJ1075" si="3192">AJ1074</f>
        <v>0</v>
      </c>
      <c r="AK1075" s="410">
        <f t="shared" ref="AK1075" si="3193">AK1074</f>
        <v>0</v>
      </c>
      <c r="AL1075" s="410">
        <f t="shared" ref="AL1075" si="3194">AL1074</f>
        <v>0</v>
      </c>
      <c r="AM1075" s="306"/>
    </row>
    <row r="1076" spans="1:39" ht="15" hidden="1" customHeight="1" outlineLevel="1">
      <c r="A1076" s="527"/>
      <c r="B1076" s="425"/>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1"/>
      <c r="Z1076" s="422"/>
      <c r="AA1076" s="422"/>
      <c r="AB1076" s="422"/>
      <c r="AC1076" s="422"/>
      <c r="AD1076" s="422"/>
      <c r="AE1076" s="422"/>
      <c r="AF1076" s="422"/>
      <c r="AG1076" s="422"/>
      <c r="AH1076" s="422"/>
      <c r="AI1076" s="422"/>
      <c r="AJ1076" s="422"/>
      <c r="AK1076" s="422"/>
      <c r="AL1076" s="422"/>
      <c r="AM1076" s="306"/>
    </row>
    <row r="1077" spans="1:39" ht="15" hidden="1" customHeight="1" outlineLevel="1">
      <c r="A1077" s="527">
        <v>32</v>
      </c>
      <c r="B1077" s="425" t="s">
        <v>124</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3"/>
      <c r="Z1077" s="414"/>
      <c r="AA1077" s="414"/>
      <c r="AB1077" s="414"/>
      <c r="AC1077" s="414"/>
      <c r="AD1077" s="414"/>
      <c r="AE1077" s="414"/>
      <c r="AF1077" s="414"/>
      <c r="AG1077" s="414"/>
      <c r="AH1077" s="414"/>
      <c r="AI1077" s="414"/>
      <c r="AJ1077" s="414"/>
      <c r="AK1077" s="414"/>
      <c r="AL1077" s="414"/>
      <c r="AM1077" s="296">
        <f>SUM(Y1077:AL1077)</f>
        <v>0</v>
      </c>
    </row>
    <row r="1078" spans="1:39" ht="15" hidden="1" customHeight="1" outlineLevel="1">
      <c r="A1078" s="527"/>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0">
        <f>Y1077</f>
        <v>0</v>
      </c>
      <c r="Z1078" s="410">
        <f t="shared" ref="Z1078" si="3195">Z1077</f>
        <v>0</v>
      </c>
      <c r="AA1078" s="410">
        <f t="shared" ref="AA1078" si="3196">AA1077</f>
        <v>0</v>
      </c>
      <c r="AB1078" s="410">
        <f t="shared" ref="AB1078" si="3197">AB1077</f>
        <v>0</v>
      </c>
      <c r="AC1078" s="410">
        <f t="shared" ref="AC1078" si="3198">AC1077</f>
        <v>0</v>
      </c>
      <c r="AD1078" s="410">
        <f t="shared" ref="AD1078" si="3199">AD1077</f>
        <v>0</v>
      </c>
      <c r="AE1078" s="410">
        <f t="shared" ref="AE1078" si="3200">AE1077</f>
        <v>0</v>
      </c>
      <c r="AF1078" s="410">
        <f t="shared" ref="AF1078" si="3201">AF1077</f>
        <v>0</v>
      </c>
      <c r="AG1078" s="410">
        <f t="shared" ref="AG1078" si="3202">AG1077</f>
        <v>0</v>
      </c>
      <c r="AH1078" s="410">
        <f t="shared" ref="AH1078" si="3203">AH1077</f>
        <v>0</v>
      </c>
      <c r="AI1078" s="410">
        <f t="shared" ref="AI1078" si="3204">AI1077</f>
        <v>0</v>
      </c>
      <c r="AJ1078" s="410">
        <f t="shared" ref="AJ1078" si="3205">AJ1077</f>
        <v>0</v>
      </c>
      <c r="AK1078" s="410">
        <f t="shared" ref="AK1078" si="3206">AK1077</f>
        <v>0</v>
      </c>
      <c r="AL1078" s="410">
        <f t="shared" ref="AL1078" si="3207">AL1077</f>
        <v>0</v>
      </c>
      <c r="AM1078" s="306"/>
    </row>
    <row r="1079" spans="1:39" ht="15" hidden="1" customHeight="1" outlineLevel="1">
      <c r="A1079" s="527"/>
      <c r="B1079" s="425"/>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1"/>
      <c r="Z1079" s="422"/>
      <c r="AA1079" s="422"/>
      <c r="AB1079" s="422"/>
      <c r="AC1079" s="422"/>
      <c r="AD1079" s="422"/>
      <c r="AE1079" s="422"/>
      <c r="AF1079" s="422"/>
      <c r="AG1079" s="422"/>
      <c r="AH1079" s="422"/>
      <c r="AI1079" s="422"/>
      <c r="AJ1079" s="422"/>
      <c r="AK1079" s="422"/>
      <c r="AL1079" s="422"/>
      <c r="AM1079" s="306"/>
    </row>
    <row r="1080" spans="1:39" ht="15" hidden="1" customHeight="1" outlineLevel="1">
      <c r="A1080" s="527"/>
      <c r="B1080" s="288" t="s">
        <v>501</v>
      </c>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1"/>
      <c r="Z1080" s="422"/>
      <c r="AA1080" s="422"/>
      <c r="AB1080" s="422"/>
      <c r="AC1080" s="422"/>
      <c r="AD1080" s="422"/>
      <c r="AE1080" s="422"/>
      <c r="AF1080" s="422"/>
      <c r="AG1080" s="422"/>
      <c r="AH1080" s="422"/>
      <c r="AI1080" s="422"/>
      <c r="AJ1080" s="422"/>
      <c r="AK1080" s="422"/>
      <c r="AL1080" s="422"/>
      <c r="AM1080" s="306"/>
    </row>
    <row r="1081" spans="1:39" ht="15" hidden="1" customHeight="1" outlineLevel="1">
      <c r="A1081" s="527">
        <v>33</v>
      </c>
      <c r="B1081" s="425" t="s">
        <v>125</v>
      </c>
      <c r="C1081" s="291" t="s">
        <v>25</v>
      </c>
      <c r="D1081" s="295"/>
      <c r="E1081" s="295"/>
      <c r="F1081" s="295"/>
      <c r="G1081" s="295"/>
      <c r="H1081" s="295"/>
      <c r="I1081" s="295"/>
      <c r="J1081" s="295"/>
      <c r="K1081" s="295"/>
      <c r="L1081" s="295"/>
      <c r="M1081" s="295"/>
      <c r="N1081" s="295">
        <v>0</v>
      </c>
      <c r="O1081" s="295"/>
      <c r="P1081" s="295"/>
      <c r="Q1081" s="295"/>
      <c r="R1081" s="295"/>
      <c r="S1081" s="295"/>
      <c r="T1081" s="295"/>
      <c r="U1081" s="295"/>
      <c r="V1081" s="295"/>
      <c r="W1081" s="295"/>
      <c r="X1081" s="295"/>
      <c r="Y1081" s="423"/>
      <c r="Z1081" s="414"/>
      <c r="AA1081" s="414"/>
      <c r="AB1081" s="414"/>
      <c r="AC1081" s="414"/>
      <c r="AD1081" s="414"/>
      <c r="AE1081" s="414"/>
      <c r="AF1081" s="414"/>
      <c r="AG1081" s="414"/>
      <c r="AH1081" s="414"/>
      <c r="AI1081" s="414"/>
      <c r="AJ1081" s="414"/>
      <c r="AK1081" s="414"/>
      <c r="AL1081" s="414"/>
      <c r="AM1081" s="296">
        <f>SUM(Y1081:AL1081)</f>
        <v>0</v>
      </c>
    </row>
    <row r="1082" spans="1:39" ht="15" hidden="1" customHeight="1" outlineLevel="1">
      <c r="A1082" s="527"/>
      <c r="B1082" s="294" t="s">
        <v>346</v>
      </c>
      <c r="C1082" s="291" t="s">
        <v>163</v>
      </c>
      <c r="D1082" s="295"/>
      <c r="E1082" s="295"/>
      <c r="F1082" s="295"/>
      <c r="G1082" s="295"/>
      <c r="H1082" s="295"/>
      <c r="I1082" s="295"/>
      <c r="J1082" s="295"/>
      <c r="K1082" s="295"/>
      <c r="L1082" s="295"/>
      <c r="M1082" s="295"/>
      <c r="N1082" s="295">
        <f>N1081</f>
        <v>0</v>
      </c>
      <c r="O1082" s="295"/>
      <c r="P1082" s="295"/>
      <c r="Q1082" s="295"/>
      <c r="R1082" s="295"/>
      <c r="S1082" s="295"/>
      <c r="T1082" s="295"/>
      <c r="U1082" s="295"/>
      <c r="V1082" s="295"/>
      <c r="W1082" s="295"/>
      <c r="X1082" s="295"/>
      <c r="Y1082" s="410">
        <f>Y1081</f>
        <v>0</v>
      </c>
      <c r="Z1082" s="410">
        <f t="shared" ref="Z1082" si="3208">Z1081</f>
        <v>0</v>
      </c>
      <c r="AA1082" s="410">
        <f t="shared" ref="AA1082" si="3209">AA1081</f>
        <v>0</v>
      </c>
      <c r="AB1082" s="410">
        <f t="shared" ref="AB1082" si="3210">AB1081</f>
        <v>0</v>
      </c>
      <c r="AC1082" s="410">
        <f t="shared" ref="AC1082" si="3211">AC1081</f>
        <v>0</v>
      </c>
      <c r="AD1082" s="410">
        <f t="shared" ref="AD1082" si="3212">AD1081</f>
        <v>0</v>
      </c>
      <c r="AE1082" s="410">
        <f t="shared" ref="AE1082" si="3213">AE1081</f>
        <v>0</v>
      </c>
      <c r="AF1082" s="410">
        <f t="shared" ref="AF1082" si="3214">AF1081</f>
        <v>0</v>
      </c>
      <c r="AG1082" s="410">
        <f t="shared" ref="AG1082" si="3215">AG1081</f>
        <v>0</v>
      </c>
      <c r="AH1082" s="410">
        <f t="shared" ref="AH1082" si="3216">AH1081</f>
        <v>0</v>
      </c>
      <c r="AI1082" s="410">
        <f t="shared" ref="AI1082" si="3217">AI1081</f>
        <v>0</v>
      </c>
      <c r="AJ1082" s="410">
        <f t="shared" ref="AJ1082" si="3218">AJ1081</f>
        <v>0</v>
      </c>
      <c r="AK1082" s="410">
        <f t="shared" ref="AK1082" si="3219">AK1081</f>
        <v>0</v>
      </c>
      <c r="AL1082" s="410">
        <f t="shared" ref="AL1082" si="3220">AL1081</f>
        <v>0</v>
      </c>
      <c r="AM1082" s="306"/>
    </row>
    <row r="1083" spans="1:39" ht="15" hidden="1" customHeight="1" outlineLevel="1">
      <c r="A1083" s="527"/>
      <c r="B1083" s="425"/>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1"/>
      <c r="Z1083" s="422"/>
      <c r="AA1083" s="422"/>
      <c r="AB1083" s="422"/>
      <c r="AC1083" s="422"/>
      <c r="AD1083" s="422"/>
      <c r="AE1083" s="422"/>
      <c r="AF1083" s="422"/>
      <c r="AG1083" s="422"/>
      <c r="AH1083" s="422"/>
      <c r="AI1083" s="422"/>
      <c r="AJ1083" s="422"/>
      <c r="AK1083" s="422"/>
      <c r="AL1083" s="422"/>
      <c r="AM1083" s="306"/>
    </row>
    <row r="1084" spans="1:39" ht="15" hidden="1" customHeight="1" outlineLevel="1">
      <c r="A1084" s="527">
        <v>34</v>
      </c>
      <c r="B1084" s="425" t="s">
        <v>126</v>
      </c>
      <c r="C1084" s="291" t="s">
        <v>25</v>
      </c>
      <c r="D1084" s="295"/>
      <c r="E1084" s="295"/>
      <c r="F1084" s="295"/>
      <c r="G1084" s="295"/>
      <c r="H1084" s="295"/>
      <c r="I1084" s="295"/>
      <c r="J1084" s="295"/>
      <c r="K1084" s="295"/>
      <c r="L1084" s="295"/>
      <c r="M1084" s="295"/>
      <c r="N1084" s="295">
        <v>0</v>
      </c>
      <c r="O1084" s="295"/>
      <c r="P1084" s="295"/>
      <c r="Q1084" s="295"/>
      <c r="R1084" s="295"/>
      <c r="S1084" s="295"/>
      <c r="T1084" s="295"/>
      <c r="U1084" s="295"/>
      <c r="V1084" s="295"/>
      <c r="W1084" s="295"/>
      <c r="X1084" s="295"/>
      <c r="Y1084" s="423"/>
      <c r="Z1084" s="414"/>
      <c r="AA1084" s="414"/>
      <c r="AB1084" s="414"/>
      <c r="AC1084" s="414"/>
      <c r="AD1084" s="414"/>
      <c r="AE1084" s="414"/>
      <c r="AF1084" s="414"/>
      <c r="AG1084" s="414"/>
      <c r="AH1084" s="414"/>
      <c r="AI1084" s="414"/>
      <c r="AJ1084" s="414"/>
      <c r="AK1084" s="414"/>
      <c r="AL1084" s="414"/>
      <c r="AM1084" s="296">
        <f>SUM(Y1084:AL1084)</f>
        <v>0</v>
      </c>
    </row>
    <row r="1085" spans="1:39" ht="15" hidden="1" customHeight="1" outlineLevel="1">
      <c r="A1085" s="527"/>
      <c r="B1085" s="294" t="s">
        <v>346</v>
      </c>
      <c r="C1085" s="291" t="s">
        <v>163</v>
      </c>
      <c r="D1085" s="295"/>
      <c r="E1085" s="295"/>
      <c r="F1085" s="295"/>
      <c r="G1085" s="295"/>
      <c r="H1085" s="295"/>
      <c r="I1085" s="295"/>
      <c r="J1085" s="295"/>
      <c r="K1085" s="295"/>
      <c r="L1085" s="295"/>
      <c r="M1085" s="295"/>
      <c r="N1085" s="295">
        <f>N1084</f>
        <v>0</v>
      </c>
      <c r="O1085" s="295"/>
      <c r="P1085" s="295"/>
      <c r="Q1085" s="295"/>
      <c r="R1085" s="295"/>
      <c r="S1085" s="295"/>
      <c r="T1085" s="295"/>
      <c r="U1085" s="295"/>
      <c r="V1085" s="295"/>
      <c r="W1085" s="295"/>
      <c r="X1085" s="295"/>
      <c r="Y1085" s="410">
        <f>Y1084</f>
        <v>0</v>
      </c>
      <c r="Z1085" s="410">
        <f t="shared" ref="Z1085" si="3221">Z1084</f>
        <v>0</v>
      </c>
      <c r="AA1085" s="410">
        <f t="shared" ref="AA1085" si="3222">AA1084</f>
        <v>0</v>
      </c>
      <c r="AB1085" s="410">
        <f t="shared" ref="AB1085" si="3223">AB1084</f>
        <v>0</v>
      </c>
      <c r="AC1085" s="410">
        <f t="shared" ref="AC1085" si="3224">AC1084</f>
        <v>0</v>
      </c>
      <c r="AD1085" s="410">
        <f t="shared" ref="AD1085" si="3225">AD1084</f>
        <v>0</v>
      </c>
      <c r="AE1085" s="410">
        <f t="shared" ref="AE1085" si="3226">AE1084</f>
        <v>0</v>
      </c>
      <c r="AF1085" s="410">
        <f t="shared" ref="AF1085" si="3227">AF1084</f>
        <v>0</v>
      </c>
      <c r="AG1085" s="410">
        <f t="shared" ref="AG1085" si="3228">AG1084</f>
        <v>0</v>
      </c>
      <c r="AH1085" s="410">
        <f t="shared" ref="AH1085" si="3229">AH1084</f>
        <v>0</v>
      </c>
      <c r="AI1085" s="410">
        <f t="shared" ref="AI1085" si="3230">AI1084</f>
        <v>0</v>
      </c>
      <c r="AJ1085" s="410">
        <f t="shared" ref="AJ1085" si="3231">AJ1084</f>
        <v>0</v>
      </c>
      <c r="AK1085" s="410">
        <f t="shared" ref="AK1085" si="3232">AK1084</f>
        <v>0</v>
      </c>
      <c r="AL1085" s="410">
        <f t="shared" ref="AL1085" si="3233">AL1084</f>
        <v>0</v>
      </c>
      <c r="AM1085" s="306"/>
    </row>
    <row r="1086" spans="1:39" ht="15" hidden="1" customHeight="1" outlineLevel="1">
      <c r="A1086" s="527"/>
      <c r="B1086" s="425"/>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1"/>
      <c r="Z1086" s="422"/>
      <c r="AA1086" s="422"/>
      <c r="AB1086" s="422"/>
      <c r="AC1086" s="422"/>
      <c r="AD1086" s="422"/>
      <c r="AE1086" s="422"/>
      <c r="AF1086" s="422"/>
      <c r="AG1086" s="422"/>
      <c r="AH1086" s="422"/>
      <c r="AI1086" s="422"/>
      <c r="AJ1086" s="422"/>
      <c r="AK1086" s="422"/>
      <c r="AL1086" s="422"/>
      <c r="AM1086" s="306"/>
    </row>
    <row r="1087" spans="1:39" ht="15" hidden="1" customHeight="1" outlineLevel="1">
      <c r="A1087" s="527">
        <v>35</v>
      </c>
      <c r="B1087" s="425" t="s">
        <v>127</v>
      </c>
      <c r="C1087" s="291" t="s">
        <v>25</v>
      </c>
      <c r="D1087" s="295"/>
      <c r="E1087" s="295"/>
      <c r="F1087" s="295"/>
      <c r="G1087" s="295"/>
      <c r="H1087" s="295"/>
      <c r="I1087" s="295"/>
      <c r="J1087" s="295"/>
      <c r="K1087" s="295"/>
      <c r="L1087" s="295"/>
      <c r="M1087" s="295"/>
      <c r="N1087" s="295">
        <v>0</v>
      </c>
      <c r="O1087" s="295"/>
      <c r="P1087" s="295"/>
      <c r="Q1087" s="295"/>
      <c r="R1087" s="295"/>
      <c r="S1087" s="295"/>
      <c r="T1087" s="295"/>
      <c r="U1087" s="295"/>
      <c r="V1087" s="295"/>
      <c r="W1087" s="295"/>
      <c r="X1087" s="295"/>
      <c r="Y1087" s="423"/>
      <c r="Z1087" s="414"/>
      <c r="AA1087" s="414"/>
      <c r="AB1087" s="414"/>
      <c r="AC1087" s="414"/>
      <c r="AD1087" s="414"/>
      <c r="AE1087" s="414"/>
      <c r="AF1087" s="414"/>
      <c r="AG1087" s="414"/>
      <c r="AH1087" s="414"/>
      <c r="AI1087" s="414"/>
      <c r="AJ1087" s="414"/>
      <c r="AK1087" s="414"/>
      <c r="AL1087" s="414"/>
      <c r="AM1087" s="296">
        <f>SUM(Y1087:AL1087)</f>
        <v>0</v>
      </c>
    </row>
    <row r="1088" spans="1:39" ht="15" hidden="1" customHeight="1" outlineLevel="1">
      <c r="A1088" s="527"/>
      <c r="B1088" s="294" t="s">
        <v>346</v>
      </c>
      <c r="C1088" s="291" t="s">
        <v>163</v>
      </c>
      <c r="D1088" s="295"/>
      <c r="E1088" s="295"/>
      <c r="F1088" s="295"/>
      <c r="G1088" s="295"/>
      <c r="H1088" s="295"/>
      <c r="I1088" s="295"/>
      <c r="J1088" s="295"/>
      <c r="K1088" s="295"/>
      <c r="L1088" s="295"/>
      <c r="M1088" s="295"/>
      <c r="N1088" s="295">
        <f>N1087</f>
        <v>0</v>
      </c>
      <c r="O1088" s="295"/>
      <c r="P1088" s="295"/>
      <c r="Q1088" s="295"/>
      <c r="R1088" s="295"/>
      <c r="S1088" s="295"/>
      <c r="T1088" s="295"/>
      <c r="U1088" s="295"/>
      <c r="V1088" s="295"/>
      <c r="W1088" s="295"/>
      <c r="X1088" s="295"/>
      <c r="Y1088" s="410">
        <f>Y1087</f>
        <v>0</v>
      </c>
      <c r="Z1088" s="410">
        <f t="shared" ref="Z1088" si="3234">Z1087</f>
        <v>0</v>
      </c>
      <c r="AA1088" s="410">
        <f t="shared" ref="AA1088" si="3235">AA1087</f>
        <v>0</v>
      </c>
      <c r="AB1088" s="410">
        <f t="shared" ref="AB1088" si="3236">AB1087</f>
        <v>0</v>
      </c>
      <c r="AC1088" s="410">
        <f t="shared" ref="AC1088" si="3237">AC1087</f>
        <v>0</v>
      </c>
      <c r="AD1088" s="410">
        <f t="shared" ref="AD1088" si="3238">AD1087</f>
        <v>0</v>
      </c>
      <c r="AE1088" s="410">
        <f t="shared" ref="AE1088" si="3239">AE1087</f>
        <v>0</v>
      </c>
      <c r="AF1088" s="410">
        <f t="shared" ref="AF1088" si="3240">AF1087</f>
        <v>0</v>
      </c>
      <c r="AG1088" s="410">
        <f t="shared" ref="AG1088" si="3241">AG1087</f>
        <v>0</v>
      </c>
      <c r="AH1088" s="410">
        <f t="shared" ref="AH1088" si="3242">AH1087</f>
        <v>0</v>
      </c>
      <c r="AI1088" s="410">
        <f t="shared" ref="AI1088" si="3243">AI1087</f>
        <v>0</v>
      </c>
      <c r="AJ1088" s="410">
        <f t="shared" ref="AJ1088" si="3244">AJ1087</f>
        <v>0</v>
      </c>
      <c r="AK1088" s="410">
        <f t="shared" ref="AK1088" si="3245">AK1087</f>
        <v>0</v>
      </c>
      <c r="AL1088" s="410">
        <f t="shared" ref="AL1088" si="3246">AL1087</f>
        <v>0</v>
      </c>
      <c r="AM1088" s="306"/>
    </row>
    <row r="1089" spans="1:39" ht="15" hidden="1" customHeight="1" outlineLevel="1">
      <c r="A1089" s="527"/>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1"/>
      <c r="Z1089" s="422"/>
      <c r="AA1089" s="422"/>
      <c r="AB1089" s="422"/>
      <c r="AC1089" s="422"/>
      <c r="AD1089" s="422"/>
      <c r="AE1089" s="422"/>
      <c r="AF1089" s="422"/>
      <c r="AG1089" s="422"/>
      <c r="AH1089" s="422"/>
      <c r="AI1089" s="422"/>
      <c r="AJ1089" s="422"/>
      <c r="AK1089" s="422"/>
      <c r="AL1089" s="422"/>
      <c r="AM1089" s="306"/>
    </row>
    <row r="1090" spans="1:39" ht="15" hidden="1" customHeight="1" outlineLevel="1">
      <c r="A1090" s="527"/>
      <c r="B1090" s="288" t="s">
        <v>502</v>
      </c>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1"/>
      <c r="Z1090" s="422"/>
      <c r="AA1090" s="422"/>
      <c r="AB1090" s="422"/>
      <c r="AC1090" s="422"/>
      <c r="AD1090" s="422"/>
      <c r="AE1090" s="422"/>
      <c r="AF1090" s="422"/>
      <c r="AG1090" s="422"/>
      <c r="AH1090" s="422"/>
      <c r="AI1090" s="422"/>
      <c r="AJ1090" s="422"/>
      <c r="AK1090" s="422"/>
      <c r="AL1090" s="422"/>
      <c r="AM1090" s="306"/>
    </row>
    <row r="1091" spans="1:39" ht="28.5" hidden="1" customHeight="1" outlineLevel="1">
      <c r="A1091" s="527">
        <v>36</v>
      </c>
      <c r="B1091" s="425" t="s">
        <v>128</v>
      </c>
      <c r="C1091" s="291" t="s">
        <v>25</v>
      </c>
      <c r="D1091" s="295"/>
      <c r="E1091" s="295"/>
      <c r="F1091" s="295"/>
      <c r="G1091" s="295"/>
      <c r="H1091" s="295"/>
      <c r="I1091" s="295"/>
      <c r="J1091" s="295"/>
      <c r="K1091" s="295"/>
      <c r="L1091" s="295"/>
      <c r="M1091" s="295"/>
      <c r="N1091" s="295">
        <v>12</v>
      </c>
      <c r="O1091" s="295"/>
      <c r="P1091" s="295"/>
      <c r="Q1091" s="295"/>
      <c r="R1091" s="295"/>
      <c r="S1091" s="295"/>
      <c r="T1091" s="295"/>
      <c r="U1091" s="295"/>
      <c r="V1091" s="295"/>
      <c r="W1091" s="295"/>
      <c r="X1091" s="295"/>
      <c r="Y1091" s="423"/>
      <c r="Z1091" s="414"/>
      <c r="AA1091" s="414"/>
      <c r="AB1091" s="414"/>
      <c r="AC1091" s="414"/>
      <c r="AD1091" s="414"/>
      <c r="AE1091" s="414"/>
      <c r="AF1091" s="414"/>
      <c r="AG1091" s="414"/>
      <c r="AH1091" s="414"/>
      <c r="AI1091" s="414"/>
      <c r="AJ1091" s="414"/>
      <c r="AK1091" s="414"/>
      <c r="AL1091" s="414"/>
      <c r="AM1091" s="296">
        <f>SUM(Y1091:AL1091)</f>
        <v>0</v>
      </c>
    </row>
    <row r="1092" spans="1:39" ht="15" hidden="1" customHeight="1" outlineLevel="1">
      <c r="A1092" s="527"/>
      <c r="B1092" s="294" t="s">
        <v>346</v>
      </c>
      <c r="C1092" s="291" t="s">
        <v>163</v>
      </c>
      <c r="D1092" s="295"/>
      <c r="E1092" s="295"/>
      <c r="F1092" s="295"/>
      <c r="G1092" s="295"/>
      <c r="H1092" s="295"/>
      <c r="I1092" s="295"/>
      <c r="J1092" s="295"/>
      <c r="K1092" s="295"/>
      <c r="L1092" s="295"/>
      <c r="M1092" s="295"/>
      <c r="N1092" s="295">
        <f>N1091</f>
        <v>12</v>
      </c>
      <c r="O1092" s="295"/>
      <c r="P1092" s="295"/>
      <c r="Q1092" s="295"/>
      <c r="R1092" s="295"/>
      <c r="S1092" s="295"/>
      <c r="T1092" s="295"/>
      <c r="U1092" s="295"/>
      <c r="V1092" s="295"/>
      <c r="W1092" s="295"/>
      <c r="X1092" s="295"/>
      <c r="Y1092" s="410">
        <f>Y1091</f>
        <v>0</v>
      </c>
      <c r="Z1092" s="410">
        <f t="shared" ref="Z1092" si="3247">Z1091</f>
        <v>0</v>
      </c>
      <c r="AA1092" s="410">
        <f t="shared" ref="AA1092" si="3248">AA1091</f>
        <v>0</v>
      </c>
      <c r="AB1092" s="410">
        <f t="shared" ref="AB1092" si="3249">AB1091</f>
        <v>0</v>
      </c>
      <c r="AC1092" s="410">
        <f t="shared" ref="AC1092" si="3250">AC1091</f>
        <v>0</v>
      </c>
      <c r="AD1092" s="410">
        <f t="shared" ref="AD1092" si="3251">AD1091</f>
        <v>0</v>
      </c>
      <c r="AE1092" s="410">
        <f t="shared" ref="AE1092" si="3252">AE1091</f>
        <v>0</v>
      </c>
      <c r="AF1092" s="410">
        <f t="shared" ref="AF1092" si="3253">AF1091</f>
        <v>0</v>
      </c>
      <c r="AG1092" s="410">
        <f t="shared" ref="AG1092" si="3254">AG1091</f>
        <v>0</v>
      </c>
      <c r="AH1092" s="410">
        <f t="shared" ref="AH1092" si="3255">AH1091</f>
        <v>0</v>
      </c>
      <c r="AI1092" s="410">
        <f t="shared" ref="AI1092" si="3256">AI1091</f>
        <v>0</v>
      </c>
      <c r="AJ1092" s="410">
        <f t="shared" ref="AJ1092" si="3257">AJ1091</f>
        <v>0</v>
      </c>
      <c r="AK1092" s="410">
        <f t="shared" ref="AK1092" si="3258">AK1091</f>
        <v>0</v>
      </c>
      <c r="AL1092" s="410">
        <f t="shared" ref="AL1092" si="3259">AL1091</f>
        <v>0</v>
      </c>
      <c r="AM1092" s="306"/>
    </row>
    <row r="1093" spans="1:39" ht="15" hidden="1" customHeight="1" outlineLevel="1">
      <c r="A1093" s="527"/>
      <c r="B1093" s="425"/>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1"/>
      <c r="Z1093" s="422"/>
      <c r="AA1093" s="422"/>
      <c r="AB1093" s="422"/>
      <c r="AC1093" s="422"/>
      <c r="AD1093" s="422"/>
      <c r="AE1093" s="422"/>
      <c r="AF1093" s="422"/>
      <c r="AG1093" s="422"/>
      <c r="AH1093" s="422"/>
      <c r="AI1093" s="422"/>
      <c r="AJ1093" s="422"/>
      <c r="AK1093" s="422"/>
      <c r="AL1093" s="422"/>
      <c r="AM1093" s="306"/>
    </row>
    <row r="1094" spans="1:39" ht="15" hidden="1" customHeight="1" outlineLevel="1">
      <c r="A1094" s="527">
        <v>37</v>
      </c>
      <c r="B1094" s="425" t="s">
        <v>129</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3"/>
      <c r="Z1094" s="414"/>
      <c r="AA1094" s="414"/>
      <c r="AB1094" s="414"/>
      <c r="AC1094" s="414"/>
      <c r="AD1094" s="414"/>
      <c r="AE1094" s="414"/>
      <c r="AF1094" s="414"/>
      <c r="AG1094" s="414"/>
      <c r="AH1094" s="414"/>
      <c r="AI1094" s="414"/>
      <c r="AJ1094" s="414"/>
      <c r="AK1094" s="414"/>
      <c r="AL1094" s="414"/>
      <c r="AM1094" s="296">
        <f>SUM(Y1094:AL1094)</f>
        <v>0</v>
      </c>
    </row>
    <row r="1095" spans="1:39" ht="15" hidden="1" customHeight="1" outlineLevel="1">
      <c r="A1095" s="527"/>
      <c r="B1095" s="294" t="s">
        <v>346</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0">
        <f>Y1094</f>
        <v>0</v>
      </c>
      <c r="Z1095" s="410">
        <f t="shared" ref="Z1095" si="3260">Z1094</f>
        <v>0</v>
      </c>
      <c r="AA1095" s="410">
        <f t="shared" ref="AA1095" si="3261">AA1094</f>
        <v>0</v>
      </c>
      <c r="AB1095" s="410">
        <f t="shared" ref="AB1095" si="3262">AB1094</f>
        <v>0</v>
      </c>
      <c r="AC1095" s="410">
        <f t="shared" ref="AC1095" si="3263">AC1094</f>
        <v>0</v>
      </c>
      <c r="AD1095" s="410">
        <f t="shared" ref="AD1095" si="3264">AD1094</f>
        <v>0</v>
      </c>
      <c r="AE1095" s="410">
        <f t="shared" ref="AE1095" si="3265">AE1094</f>
        <v>0</v>
      </c>
      <c r="AF1095" s="410">
        <f t="shared" ref="AF1095" si="3266">AF1094</f>
        <v>0</v>
      </c>
      <c r="AG1095" s="410">
        <f t="shared" ref="AG1095" si="3267">AG1094</f>
        <v>0</v>
      </c>
      <c r="AH1095" s="410">
        <f t="shared" ref="AH1095" si="3268">AH1094</f>
        <v>0</v>
      </c>
      <c r="AI1095" s="410">
        <f t="shared" ref="AI1095" si="3269">AI1094</f>
        <v>0</v>
      </c>
      <c r="AJ1095" s="410">
        <f t="shared" ref="AJ1095" si="3270">AJ1094</f>
        <v>0</v>
      </c>
      <c r="AK1095" s="410">
        <f t="shared" ref="AK1095" si="3271">AK1094</f>
        <v>0</v>
      </c>
      <c r="AL1095" s="410">
        <f t="shared" ref="AL1095" si="3272">AL1094</f>
        <v>0</v>
      </c>
      <c r="AM1095" s="306"/>
    </row>
    <row r="1096" spans="1:39" ht="15" hidden="1" customHeight="1" outlineLevel="1">
      <c r="A1096" s="527"/>
      <c r="B1096" s="425"/>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1"/>
      <c r="Z1096" s="422"/>
      <c r="AA1096" s="422"/>
      <c r="AB1096" s="422"/>
      <c r="AC1096" s="422"/>
      <c r="AD1096" s="422"/>
      <c r="AE1096" s="422"/>
      <c r="AF1096" s="422"/>
      <c r="AG1096" s="422"/>
      <c r="AH1096" s="422"/>
      <c r="AI1096" s="422"/>
      <c r="AJ1096" s="422"/>
      <c r="AK1096" s="422"/>
      <c r="AL1096" s="422"/>
      <c r="AM1096" s="306"/>
    </row>
    <row r="1097" spans="1:39" ht="15" hidden="1" customHeight="1" outlineLevel="1">
      <c r="A1097" s="527">
        <v>38</v>
      </c>
      <c r="B1097" s="425" t="s">
        <v>130</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3"/>
      <c r="Z1097" s="414"/>
      <c r="AA1097" s="414"/>
      <c r="AB1097" s="414"/>
      <c r="AC1097" s="414"/>
      <c r="AD1097" s="414"/>
      <c r="AE1097" s="414"/>
      <c r="AF1097" s="414"/>
      <c r="AG1097" s="414"/>
      <c r="AH1097" s="414"/>
      <c r="AI1097" s="414"/>
      <c r="AJ1097" s="414"/>
      <c r="AK1097" s="414"/>
      <c r="AL1097" s="414"/>
      <c r="AM1097" s="296">
        <f>SUM(Y1097:AL1097)</f>
        <v>0</v>
      </c>
    </row>
    <row r="1098" spans="1:39" ht="15" hidden="1" customHeight="1" outlineLevel="1">
      <c r="A1098" s="527"/>
      <c r="B1098" s="294" t="s">
        <v>346</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0">
        <f>Y1097</f>
        <v>0</v>
      </c>
      <c r="Z1098" s="410">
        <f t="shared" ref="Z1098" si="3273">Z1097</f>
        <v>0</v>
      </c>
      <c r="AA1098" s="410">
        <f t="shared" ref="AA1098" si="3274">AA1097</f>
        <v>0</v>
      </c>
      <c r="AB1098" s="410">
        <f t="shared" ref="AB1098" si="3275">AB1097</f>
        <v>0</v>
      </c>
      <c r="AC1098" s="410">
        <f t="shared" ref="AC1098" si="3276">AC1097</f>
        <v>0</v>
      </c>
      <c r="AD1098" s="410">
        <f t="shared" ref="AD1098" si="3277">AD1097</f>
        <v>0</v>
      </c>
      <c r="AE1098" s="410">
        <f t="shared" ref="AE1098" si="3278">AE1097</f>
        <v>0</v>
      </c>
      <c r="AF1098" s="410">
        <f t="shared" ref="AF1098" si="3279">AF1097</f>
        <v>0</v>
      </c>
      <c r="AG1098" s="410">
        <f t="shared" ref="AG1098" si="3280">AG1097</f>
        <v>0</v>
      </c>
      <c r="AH1098" s="410">
        <f t="shared" ref="AH1098" si="3281">AH1097</f>
        <v>0</v>
      </c>
      <c r="AI1098" s="410">
        <f t="shared" ref="AI1098" si="3282">AI1097</f>
        <v>0</v>
      </c>
      <c r="AJ1098" s="410">
        <f t="shared" ref="AJ1098" si="3283">AJ1097</f>
        <v>0</v>
      </c>
      <c r="AK1098" s="410">
        <f t="shared" ref="AK1098" si="3284">AK1097</f>
        <v>0</v>
      </c>
      <c r="AL1098" s="410">
        <f t="shared" ref="AL1098" si="3285">AL1097</f>
        <v>0</v>
      </c>
      <c r="AM1098" s="306"/>
    </row>
    <row r="1099" spans="1:39" ht="15" hidden="1" customHeight="1" outlineLevel="1">
      <c r="A1099" s="527"/>
      <c r="B1099" s="425"/>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1"/>
      <c r="Z1099" s="422"/>
      <c r="AA1099" s="422"/>
      <c r="AB1099" s="422"/>
      <c r="AC1099" s="422"/>
      <c r="AD1099" s="422"/>
      <c r="AE1099" s="422"/>
      <c r="AF1099" s="422"/>
      <c r="AG1099" s="422"/>
      <c r="AH1099" s="422"/>
      <c r="AI1099" s="422"/>
      <c r="AJ1099" s="422"/>
      <c r="AK1099" s="422"/>
      <c r="AL1099" s="422"/>
      <c r="AM1099" s="306"/>
    </row>
    <row r="1100" spans="1:39" ht="15" hidden="1" customHeight="1" outlineLevel="1">
      <c r="A1100" s="527">
        <v>39</v>
      </c>
      <c r="B1100" s="425" t="s">
        <v>131</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3"/>
      <c r="Z1100" s="414"/>
      <c r="AA1100" s="414"/>
      <c r="AB1100" s="414"/>
      <c r="AC1100" s="414"/>
      <c r="AD1100" s="414"/>
      <c r="AE1100" s="414"/>
      <c r="AF1100" s="414"/>
      <c r="AG1100" s="414"/>
      <c r="AH1100" s="414"/>
      <c r="AI1100" s="414"/>
      <c r="AJ1100" s="414"/>
      <c r="AK1100" s="414"/>
      <c r="AL1100" s="414"/>
      <c r="AM1100" s="296">
        <f>SUM(Y1100:AL1100)</f>
        <v>0</v>
      </c>
    </row>
    <row r="1101" spans="1:39" ht="15" hidden="1" customHeight="1" outlineLevel="1">
      <c r="A1101" s="527"/>
      <c r="B1101" s="294" t="s">
        <v>346</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0">
        <f>Y1100</f>
        <v>0</v>
      </c>
      <c r="Z1101" s="410">
        <f t="shared" ref="Z1101" si="3286">Z1100</f>
        <v>0</v>
      </c>
      <c r="AA1101" s="410">
        <f t="shared" ref="AA1101" si="3287">AA1100</f>
        <v>0</v>
      </c>
      <c r="AB1101" s="410">
        <f t="shared" ref="AB1101" si="3288">AB1100</f>
        <v>0</v>
      </c>
      <c r="AC1101" s="410">
        <f t="shared" ref="AC1101" si="3289">AC1100</f>
        <v>0</v>
      </c>
      <c r="AD1101" s="410">
        <f t="shared" ref="AD1101" si="3290">AD1100</f>
        <v>0</v>
      </c>
      <c r="AE1101" s="410">
        <f t="shared" ref="AE1101" si="3291">AE1100</f>
        <v>0</v>
      </c>
      <c r="AF1101" s="410">
        <f t="shared" ref="AF1101" si="3292">AF1100</f>
        <v>0</v>
      </c>
      <c r="AG1101" s="410">
        <f t="shared" ref="AG1101" si="3293">AG1100</f>
        <v>0</v>
      </c>
      <c r="AH1101" s="410">
        <f t="shared" ref="AH1101" si="3294">AH1100</f>
        <v>0</v>
      </c>
      <c r="AI1101" s="410">
        <f t="shared" ref="AI1101" si="3295">AI1100</f>
        <v>0</v>
      </c>
      <c r="AJ1101" s="410">
        <f t="shared" ref="AJ1101" si="3296">AJ1100</f>
        <v>0</v>
      </c>
      <c r="AK1101" s="410">
        <f t="shared" ref="AK1101" si="3297">AK1100</f>
        <v>0</v>
      </c>
      <c r="AL1101" s="410">
        <f t="shared" ref="AL1101" si="3298">AL1100</f>
        <v>0</v>
      </c>
      <c r="AM1101" s="306"/>
    </row>
    <row r="1102" spans="1:39" ht="15" hidden="1" customHeight="1" outlineLevel="1">
      <c r="A1102" s="527"/>
      <c r="B1102" s="425"/>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1"/>
      <c r="Z1102" s="422"/>
      <c r="AA1102" s="422"/>
      <c r="AB1102" s="422"/>
      <c r="AC1102" s="422"/>
      <c r="AD1102" s="422"/>
      <c r="AE1102" s="422"/>
      <c r="AF1102" s="422"/>
      <c r="AG1102" s="422"/>
      <c r="AH1102" s="422"/>
      <c r="AI1102" s="422"/>
      <c r="AJ1102" s="422"/>
      <c r="AK1102" s="422"/>
      <c r="AL1102" s="422"/>
      <c r="AM1102" s="306"/>
    </row>
    <row r="1103" spans="1:39" ht="15" hidden="1" customHeight="1" outlineLevel="1">
      <c r="A1103" s="527">
        <v>40</v>
      </c>
      <c r="B1103" s="425" t="s">
        <v>132</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3"/>
      <c r="Z1103" s="414"/>
      <c r="AA1103" s="414"/>
      <c r="AB1103" s="414"/>
      <c r="AC1103" s="414"/>
      <c r="AD1103" s="414"/>
      <c r="AE1103" s="414"/>
      <c r="AF1103" s="414"/>
      <c r="AG1103" s="414"/>
      <c r="AH1103" s="414"/>
      <c r="AI1103" s="414"/>
      <c r="AJ1103" s="414"/>
      <c r="AK1103" s="414"/>
      <c r="AL1103" s="414"/>
      <c r="AM1103" s="296">
        <f>SUM(Y1103:AL1103)</f>
        <v>0</v>
      </c>
    </row>
    <row r="1104" spans="1:39" ht="15" hidden="1" customHeight="1" outlineLevel="1">
      <c r="A1104" s="527"/>
      <c r="B1104" s="294" t="s">
        <v>346</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0">
        <f>Y1103</f>
        <v>0</v>
      </c>
      <c r="Z1104" s="410">
        <f t="shared" ref="Z1104" si="3299">Z1103</f>
        <v>0</v>
      </c>
      <c r="AA1104" s="410">
        <f t="shared" ref="AA1104" si="3300">AA1103</f>
        <v>0</v>
      </c>
      <c r="AB1104" s="410">
        <f t="shared" ref="AB1104" si="3301">AB1103</f>
        <v>0</v>
      </c>
      <c r="AC1104" s="410">
        <f t="shared" ref="AC1104" si="3302">AC1103</f>
        <v>0</v>
      </c>
      <c r="AD1104" s="410">
        <f t="shared" ref="AD1104" si="3303">AD1103</f>
        <v>0</v>
      </c>
      <c r="AE1104" s="410">
        <f t="shared" ref="AE1104" si="3304">AE1103</f>
        <v>0</v>
      </c>
      <c r="AF1104" s="410">
        <f t="shared" ref="AF1104" si="3305">AF1103</f>
        <v>0</v>
      </c>
      <c r="AG1104" s="410">
        <f t="shared" ref="AG1104" si="3306">AG1103</f>
        <v>0</v>
      </c>
      <c r="AH1104" s="410">
        <f t="shared" ref="AH1104" si="3307">AH1103</f>
        <v>0</v>
      </c>
      <c r="AI1104" s="410">
        <f t="shared" ref="AI1104" si="3308">AI1103</f>
        <v>0</v>
      </c>
      <c r="AJ1104" s="410">
        <f t="shared" ref="AJ1104" si="3309">AJ1103</f>
        <v>0</v>
      </c>
      <c r="AK1104" s="410">
        <f t="shared" ref="AK1104" si="3310">AK1103</f>
        <v>0</v>
      </c>
      <c r="AL1104" s="410">
        <f t="shared" ref="AL1104" si="3311">AL1103</f>
        <v>0</v>
      </c>
      <c r="AM1104" s="306"/>
    </row>
    <row r="1105" spans="1:39" ht="15" hidden="1" customHeight="1" outlineLevel="1">
      <c r="A1105" s="527"/>
      <c r="B1105" s="425"/>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1"/>
      <c r="Z1105" s="422"/>
      <c r="AA1105" s="422"/>
      <c r="AB1105" s="422"/>
      <c r="AC1105" s="422"/>
      <c r="AD1105" s="422"/>
      <c r="AE1105" s="422"/>
      <c r="AF1105" s="422"/>
      <c r="AG1105" s="422"/>
      <c r="AH1105" s="422"/>
      <c r="AI1105" s="422"/>
      <c r="AJ1105" s="422"/>
      <c r="AK1105" s="422"/>
      <c r="AL1105" s="422"/>
      <c r="AM1105" s="306"/>
    </row>
    <row r="1106" spans="1:39" ht="28.5" hidden="1" customHeight="1" outlineLevel="1">
      <c r="A1106" s="527">
        <v>41</v>
      </c>
      <c r="B1106" s="425" t="s">
        <v>133</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3"/>
      <c r="Z1106" s="414"/>
      <c r="AA1106" s="414"/>
      <c r="AB1106" s="414"/>
      <c r="AC1106" s="414"/>
      <c r="AD1106" s="414"/>
      <c r="AE1106" s="414"/>
      <c r="AF1106" s="414"/>
      <c r="AG1106" s="414"/>
      <c r="AH1106" s="414"/>
      <c r="AI1106" s="414"/>
      <c r="AJ1106" s="414"/>
      <c r="AK1106" s="414"/>
      <c r="AL1106" s="414"/>
      <c r="AM1106" s="296">
        <f>SUM(Y1106:AL1106)</f>
        <v>0</v>
      </c>
    </row>
    <row r="1107" spans="1:39" ht="15" hidden="1" customHeight="1" outlineLevel="1">
      <c r="A1107" s="527"/>
      <c r="B1107" s="294" t="s">
        <v>346</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0">
        <f>Y1106</f>
        <v>0</v>
      </c>
      <c r="Z1107" s="410">
        <f t="shared" ref="Z1107" si="3312">Z1106</f>
        <v>0</v>
      </c>
      <c r="AA1107" s="410">
        <f t="shared" ref="AA1107" si="3313">AA1106</f>
        <v>0</v>
      </c>
      <c r="AB1107" s="410">
        <f t="shared" ref="AB1107" si="3314">AB1106</f>
        <v>0</v>
      </c>
      <c r="AC1107" s="410">
        <f t="shared" ref="AC1107" si="3315">AC1106</f>
        <v>0</v>
      </c>
      <c r="AD1107" s="410">
        <f t="shared" ref="AD1107" si="3316">AD1106</f>
        <v>0</v>
      </c>
      <c r="AE1107" s="410">
        <f t="shared" ref="AE1107" si="3317">AE1106</f>
        <v>0</v>
      </c>
      <c r="AF1107" s="410">
        <f t="shared" ref="AF1107" si="3318">AF1106</f>
        <v>0</v>
      </c>
      <c r="AG1107" s="410">
        <f t="shared" ref="AG1107" si="3319">AG1106</f>
        <v>0</v>
      </c>
      <c r="AH1107" s="410">
        <f t="shared" ref="AH1107" si="3320">AH1106</f>
        <v>0</v>
      </c>
      <c r="AI1107" s="410">
        <f t="shared" ref="AI1107" si="3321">AI1106</f>
        <v>0</v>
      </c>
      <c r="AJ1107" s="410">
        <f t="shared" ref="AJ1107" si="3322">AJ1106</f>
        <v>0</v>
      </c>
      <c r="AK1107" s="410">
        <f t="shared" ref="AK1107" si="3323">AK1106</f>
        <v>0</v>
      </c>
      <c r="AL1107" s="410">
        <f t="shared" ref="AL1107" si="3324">AL1106</f>
        <v>0</v>
      </c>
      <c r="AM1107" s="306"/>
    </row>
    <row r="1108" spans="1:39" ht="15" hidden="1" customHeight="1" outlineLevel="1">
      <c r="A1108" s="527"/>
      <c r="B1108" s="425"/>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1"/>
      <c r="Z1108" s="422"/>
      <c r="AA1108" s="422"/>
      <c r="AB1108" s="422"/>
      <c r="AC1108" s="422"/>
      <c r="AD1108" s="422"/>
      <c r="AE1108" s="422"/>
      <c r="AF1108" s="422"/>
      <c r="AG1108" s="422"/>
      <c r="AH1108" s="422"/>
      <c r="AI1108" s="422"/>
      <c r="AJ1108" s="422"/>
      <c r="AK1108" s="422"/>
      <c r="AL1108" s="422"/>
      <c r="AM1108" s="306"/>
    </row>
    <row r="1109" spans="1:39" ht="28.5" hidden="1" customHeight="1" outlineLevel="1">
      <c r="A1109" s="527">
        <v>42</v>
      </c>
      <c r="B1109" s="425" t="s">
        <v>134</v>
      </c>
      <c r="C1109" s="291" t="s">
        <v>25</v>
      </c>
      <c r="D1109" s="295"/>
      <c r="E1109" s="295"/>
      <c r="F1109" s="295"/>
      <c r="G1109" s="295"/>
      <c r="H1109" s="295"/>
      <c r="I1109" s="295"/>
      <c r="J1109" s="295"/>
      <c r="K1109" s="295"/>
      <c r="L1109" s="295"/>
      <c r="M1109" s="295"/>
      <c r="N1109" s="291"/>
      <c r="O1109" s="295"/>
      <c r="P1109" s="295"/>
      <c r="Q1109" s="295"/>
      <c r="R1109" s="295"/>
      <c r="S1109" s="295"/>
      <c r="T1109" s="295"/>
      <c r="U1109" s="295"/>
      <c r="V1109" s="295"/>
      <c r="W1109" s="295"/>
      <c r="X1109" s="295"/>
      <c r="Y1109" s="423"/>
      <c r="Z1109" s="414"/>
      <c r="AA1109" s="414"/>
      <c r="AB1109" s="414"/>
      <c r="AC1109" s="414"/>
      <c r="AD1109" s="414"/>
      <c r="AE1109" s="414"/>
      <c r="AF1109" s="414"/>
      <c r="AG1109" s="414"/>
      <c r="AH1109" s="414"/>
      <c r="AI1109" s="414"/>
      <c r="AJ1109" s="414"/>
      <c r="AK1109" s="414"/>
      <c r="AL1109" s="414"/>
      <c r="AM1109" s="296">
        <f>SUM(Y1109:AL1109)</f>
        <v>0</v>
      </c>
    </row>
    <row r="1110" spans="1:39" ht="15" hidden="1" customHeight="1" outlineLevel="1">
      <c r="A1110" s="527"/>
      <c r="B1110" s="294" t="s">
        <v>346</v>
      </c>
      <c r="C1110" s="291" t="s">
        <v>163</v>
      </c>
      <c r="D1110" s="295"/>
      <c r="E1110" s="295"/>
      <c r="F1110" s="295"/>
      <c r="G1110" s="295"/>
      <c r="H1110" s="295"/>
      <c r="I1110" s="295"/>
      <c r="J1110" s="295"/>
      <c r="K1110" s="295"/>
      <c r="L1110" s="295"/>
      <c r="M1110" s="295"/>
      <c r="N1110" s="464"/>
      <c r="O1110" s="295"/>
      <c r="P1110" s="295"/>
      <c r="Q1110" s="295"/>
      <c r="R1110" s="295"/>
      <c r="S1110" s="295"/>
      <c r="T1110" s="295"/>
      <c r="U1110" s="295"/>
      <c r="V1110" s="295"/>
      <c r="W1110" s="295"/>
      <c r="X1110" s="295"/>
      <c r="Y1110" s="410">
        <f>Y1109</f>
        <v>0</v>
      </c>
      <c r="Z1110" s="410">
        <f t="shared" ref="Z1110" si="3325">Z1109</f>
        <v>0</v>
      </c>
      <c r="AA1110" s="410">
        <f t="shared" ref="AA1110" si="3326">AA1109</f>
        <v>0</v>
      </c>
      <c r="AB1110" s="410">
        <f t="shared" ref="AB1110" si="3327">AB1109</f>
        <v>0</v>
      </c>
      <c r="AC1110" s="410">
        <f t="shared" ref="AC1110" si="3328">AC1109</f>
        <v>0</v>
      </c>
      <c r="AD1110" s="410">
        <f t="shared" ref="AD1110" si="3329">AD1109</f>
        <v>0</v>
      </c>
      <c r="AE1110" s="410">
        <f t="shared" ref="AE1110" si="3330">AE1109</f>
        <v>0</v>
      </c>
      <c r="AF1110" s="410">
        <f t="shared" ref="AF1110" si="3331">AF1109</f>
        <v>0</v>
      </c>
      <c r="AG1110" s="410">
        <f t="shared" ref="AG1110" si="3332">AG1109</f>
        <v>0</v>
      </c>
      <c r="AH1110" s="410">
        <f t="shared" ref="AH1110" si="3333">AH1109</f>
        <v>0</v>
      </c>
      <c r="AI1110" s="410">
        <f t="shared" ref="AI1110" si="3334">AI1109</f>
        <v>0</v>
      </c>
      <c r="AJ1110" s="410">
        <f t="shared" ref="AJ1110" si="3335">AJ1109</f>
        <v>0</v>
      </c>
      <c r="AK1110" s="410">
        <f t="shared" ref="AK1110" si="3336">AK1109</f>
        <v>0</v>
      </c>
      <c r="AL1110" s="410">
        <f t="shared" ref="AL1110" si="3337">AL1109</f>
        <v>0</v>
      </c>
      <c r="AM1110" s="306"/>
    </row>
    <row r="1111" spans="1:39" ht="15" hidden="1" customHeight="1" outlineLevel="1">
      <c r="A1111" s="527"/>
      <c r="B1111" s="425"/>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1"/>
      <c r="Z1111" s="422"/>
      <c r="AA1111" s="422"/>
      <c r="AB1111" s="422"/>
      <c r="AC1111" s="422"/>
      <c r="AD1111" s="422"/>
      <c r="AE1111" s="422"/>
      <c r="AF1111" s="422"/>
      <c r="AG1111" s="422"/>
      <c r="AH1111" s="422"/>
      <c r="AI1111" s="422"/>
      <c r="AJ1111" s="422"/>
      <c r="AK1111" s="422"/>
      <c r="AL1111" s="422"/>
      <c r="AM1111" s="306"/>
    </row>
    <row r="1112" spans="1:39" ht="15" hidden="1" customHeight="1" outlineLevel="1">
      <c r="A1112" s="527">
        <v>43</v>
      </c>
      <c r="B1112" s="425" t="s">
        <v>135</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3"/>
      <c r="Z1112" s="414"/>
      <c r="AA1112" s="414"/>
      <c r="AB1112" s="414"/>
      <c r="AC1112" s="414"/>
      <c r="AD1112" s="414"/>
      <c r="AE1112" s="414"/>
      <c r="AF1112" s="414"/>
      <c r="AG1112" s="414"/>
      <c r="AH1112" s="414"/>
      <c r="AI1112" s="414"/>
      <c r="AJ1112" s="414"/>
      <c r="AK1112" s="414"/>
      <c r="AL1112" s="414"/>
      <c r="AM1112" s="296">
        <f>SUM(Y1112:AL1112)</f>
        <v>0</v>
      </c>
    </row>
    <row r="1113" spans="1:39" ht="15" hidden="1" customHeight="1" outlineLevel="1">
      <c r="A1113" s="527"/>
      <c r="B1113" s="294" t="s">
        <v>346</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0">
        <f>Y1112</f>
        <v>0</v>
      </c>
      <c r="Z1113" s="410">
        <f t="shared" ref="Z1113" si="3338">Z1112</f>
        <v>0</v>
      </c>
      <c r="AA1113" s="410">
        <f t="shared" ref="AA1113" si="3339">AA1112</f>
        <v>0</v>
      </c>
      <c r="AB1113" s="410">
        <f t="shared" ref="AB1113" si="3340">AB1112</f>
        <v>0</v>
      </c>
      <c r="AC1113" s="410">
        <f t="shared" ref="AC1113" si="3341">AC1112</f>
        <v>0</v>
      </c>
      <c r="AD1113" s="410">
        <f t="shared" ref="AD1113" si="3342">AD1112</f>
        <v>0</v>
      </c>
      <c r="AE1113" s="410">
        <f t="shared" ref="AE1113" si="3343">AE1112</f>
        <v>0</v>
      </c>
      <c r="AF1113" s="410">
        <f t="shared" ref="AF1113" si="3344">AF1112</f>
        <v>0</v>
      </c>
      <c r="AG1113" s="410">
        <f t="shared" ref="AG1113" si="3345">AG1112</f>
        <v>0</v>
      </c>
      <c r="AH1113" s="410">
        <f t="shared" ref="AH1113" si="3346">AH1112</f>
        <v>0</v>
      </c>
      <c r="AI1113" s="410">
        <f t="shared" ref="AI1113" si="3347">AI1112</f>
        <v>0</v>
      </c>
      <c r="AJ1113" s="410">
        <f t="shared" ref="AJ1113" si="3348">AJ1112</f>
        <v>0</v>
      </c>
      <c r="AK1113" s="410">
        <f t="shared" ref="AK1113" si="3349">AK1112</f>
        <v>0</v>
      </c>
      <c r="AL1113" s="410">
        <f t="shared" ref="AL1113" si="3350">AL1112</f>
        <v>0</v>
      </c>
      <c r="AM1113" s="306"/>
    </row>
    <row r="1114" spans="1:39" ht="15" hidden="1" customHeight="1" outlineLevel="1">
      <c r="A1114" s="527"/>
      <c r="B1114" s="425"/>
      <c r="C1114" s="291"/>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411"/>
      <c r="Z1114" s="422"/>
      <c r="AA1114" s="422"/>
      <c r="AB1114" s="422"/>
      <c r="AC1114" s="422"/>
      <c r="AD1114" s="422"/>
      <c r="AE1114" s="422"/>
      <c r="AF1114" s="422"/>
      <c r="AG1114" s="422"/>
      <c r="AH1114" s="422"/>
      <c r="AI1114" s="422"/>
      <c r="AJ1114" s="422"/>
      <c r="AK1114" s="422"/>
      <c r="AL1114" s="422"/>
      <c r="AM1114" s="306"/>
    </row>
    <row r="1115" spans="1:39" ht="28.5" hidden="1" customHeight="1" outlineLevel="1">
      <c r="A1115" s="527">
        <v>44</v>
      </c>
      <c r="B1115" s="425" t="s">
        <v>136</v>
      </c>
      <c r="C1115" s="291" t="s">
        <v>25</v>
      </c>
      <c r="D1115" s="295"/>
      <c r="E1115" s="295"/>
      <c r="F1115" s="295"/>
      <c r="G1115" s="295"/>
      <c r="H1115" s="295"/>
      <c r="I1115" s="295"/>
      <c r="J1115" s="295"/>
      <c r="K1115" s="295"/>
      <c r="L1115" s="295"/>
      <c r="M1115" s="295"/>
      <c r="N1115" s="295">
        <v>12</v>
      </c>
      <c r="O1115" s="295"/>
      <c r="P1115" s="295"/>
      <c r="Q1115" s="295"/>
      <c r="R1115" s="295"/>
      <c r="S1115" s="295"/>
      <c r="T1115" s="295"/>
      <c r="U1115" s="295"/>
      <c r="V1115" s="295"/>
      <c r="W1115" s="295"/>
      <c r="X1115" s="295"/>
      <c r="Y1115" s="423"/>
      <c r="Z1115" s="414"/>
      <c r="AA1115" s="414"/>
      <c r="AB1115" s="414"/>
      <c r="AC1115" s="414"/>
      <c r="AD1115" s="414"/>
      <c r="AE1115" s="414"/>
      <c r="AF1115" s="414"/>
      <c r="AG1115" s="414"/>
      <c r="AH1115" s="414"/>
      <c r="AI1115" s="414"/>
      <c r="AJ1115" s="414"/>
      <c r="AK1115" s="414"/>
      <c r="AL1115" s="414"/>
      <c r="AM1115" s="296">
        <f>SUM(Y1115:AL1115)</f>
        <v>0</v>
      </c>
    </row>
    <row r="1116" spans="1:39" ht="15" hidden="1" customHeight="1" outlineLevel="1">
      <c r="A1116" s="527"/>
      <c r="B1116" s="294" t="s">
        <v>346</v>
      </c>
      <c r="C1116" s="291" t="s">
        <v>163</v>
      </c>
      <c r="D1116" s="295"/>
      <c r="E1116" s="295"/>
      <c r="F1116" s="295"/>
      <c r="G1116" s="295"/>
      <c r="H1116" s="295"/>
      <c r="I1116" s="295"/>
      <c r="J1116" s="295"/>
      <c r="K1116" s="295"/>
      <c r="L1116" s="295"/>
      <c r="M1116" s="295"/>
      <c r="N1116" s="295">
        <f>N1115</f>
        <v>12</v>
      </c>
      <c r="O1116" s="295"/>
      <c r="P1116" s="295"/>
      <c r="Q1116" s="295"/>
      <c r="R1116" s="295"/>
      <c r="S1116" s="295"/>
      <c r="T1116" s="295"/>
      <c r="U1116" s="295"/>
      <c r="V1116" s="295"/>
      <c r="W1116" s="295"/>
      <c r="X1116" s="295"/>
      <c r="Y1116" s="410">
        <f>Y1115</f>
        <v>0</v>
      </c>
      <c r="Z1116" s="410">
        <f t="shared" ref="Z1116" si="3351">Z1115</f>
        <v>0</v>
      </c>
      <c r="AA1116" s="410">
        <f t="shared" ref="AA1116" si="3352">AA1115</f>
        <v>0</v>
      </c>
      <c r="AB1116" s="410">
        <f t="shared" ref="AB1116" si="3353">AB1115</f>
        <v>0</v>
      </c>
      <c r="AC1116" s="410">
        <f t="shared" ref="AC1116" si="3354">AC1115</f>
        <v>0</v>
      </c>
      <c r="AD1116" s="410">
        <f t="shared" ref="AD1116" si="3355">AD1115</f>
        <v>0</v>
      </c>
      <c r="AE1116" s="410">
        <f t="shared" ref="AE1116" si="3356">AE1115</f>
        <v>0</v>
      </c>
      <c r="AF1116" s="410">
        <f t="shared" ref="AF1116" si="3357">AF1115</f>
        <v>0</v>
      </c>
      <c r="AG1116" s="410">
        <f t="shared" ref="AG1116" si="3358">AG1115</f>
        <v>0</v>
      </c>
      <c r="AH1116" s="410">
        <f t="shared" ref="AH1116" si="3359">AH1115</f>
        <v>0</v>
      </c>
      <c r="AI1116" s="410">
        <f t="shared" ref="AI1116" si="3360">AI1115</f>
        <v>0</v>
      </c>
      <c r="AJ1116" s="410">
        <f t="shared" ref="AJ1116" si="3361">AJ1115</f>
        <v>0</v>
      </c>
      <c r="AK1116" s="410">
        <f t="shared" ref="AK1116" si="3362">AK1115</f>
        <v>0</v>
      </c>
      <c r="AL1116" s="410">
        <f t="shared" ref="AL1116" si="3363">AL1115</f>
        <v>0</v>
      </c>
      <c r="AM1116" s="306"/>
    </row>
    <row r="1117" spans="1:39" ht="15" hidden="1" customHeight="1" outlineLevel="1">
      <c r="A1117" s="527"/>
      <c r="B1117" s="425"/>
      <c r="C1117" s="291"/>
      <c r="D1117" s="291"/>
      <c r="E1117" s="291"/>
      <c r="F1117" s="291"/>
      <c r="G1117" s="291"/>
      <c r="H1117" s="291"/>
      <c r="I1117" s="291"/>
      <c r="J1117" s="291"/>
      <c r="K1117" s="291"/>
      <c r="L1117" s="291"/>
      <c r="M1117" s="291"/>
      <c r="N1117" s="291"/>
      <c r="O1117" s="291"/>
      <c r="P1117" s="291"/>
      <c r="Q1117" s="291"/>
      <c r="R1117" s="291"/>
      <c r="S1117" s="291"/>
      <c r="T1117" s="291"/>
      <c r="U1117" s="291"/>
      <c r="V1117" s="291"/>
      <c r="W1117" s="291"/>
      <c r="X1117" s="291"/>
      <c r="Y1117" s="411"/>
      <c r="Z1117" s="422"/>
      <c r="AA1117" s="422"/>
      <c r="AB1117" s="422"/>
      <c r="AC1117" s="422"/>
      <c r="AD1117" s="422"/>
      <c r="AE1117" s="422"/>
      <c r="AF1117" s="422"/>
      <c r="AG1117" s="422"/>
      <c r="AH1117" s="422"/>
      <c r="AI1117" s="422"/>
      <c r="AJ1117" s="422"/>
      <c r="AK1117" s="422"/>
      <c r="AL1117" s="422"/>
      <c r="AM1117" s="306"/>
    </row>
    <row r="1118" spans="1:39" ht="32.450000000000003" hidden="1" customHeight="1" outlineLevel="1">
      <c r="A1118" s="527">
        <v>45</v>
      </c>
      <c r="B1118" s="425" t="s">
        <v>137</v>
      </c>
      <c r="C1118" s="291" t="s">
        <v>25</v>
      </c>
      <c r="D1118" s="295"/>
      <c r="E1118" s="295"/>
      <c r="F1118" s="295"/>
      <c r="G1118" s="295"/>
      <c r="H1118" s="295"/>
      <c r="I1118" s="295"/>
      <c r="J1118" s="295"/>
      <c r="K1118" s="295"/>
      <c r="L1118" s="295"/>
      <c r="M1118" s="295"/>
      <c r="N1118" s="295">
        <v>12</v>
      </c>
      <c r="O1118" s="295"/>
      <c r="P1118" s="295"/>
      <c r="Q1118" s="295"/>
      <c r="R1118" s="295"/>
      <c r="S1118" s="295"/>
      <c r="T1118" s="295"/>
      <c r="U1118" s="295"/>
      <c r="V1118" s="295"/>
      <c r="W1118" s="295"/>
      <c r="X1118" s="295"/>
      <c r="Y1118" s="423"/>
      <c r="Z1118" s="414"/>
      <c r="AA1118" s="414"/>
      <c r="AB1118" s="414"/>
      <c r="AC1118" s="414"/>
      <c r="AD1118" s="414"/>
      <c r="AE1118" s="414"/>
      <c r="AF1118" s="414"/>
      <c r="AG1118" s="414"/>
      <c r="AH1118" s="414"/>
      <c r="AI1118" s="414"/>
      <c r="AJ1118" s="414"/>
      <c r="AK1118" s="414"/>
      <c r="AL1118" s="414"/>
      <c r="AM1118" s="296">
        <f>SUM(Y1118:AL1118)</f>
        <v>0</v>
      </c>
    </row>
    <row r="1119" spans="1:39" ht="15" hidden="1" customHeight="1" outlineLevel="1">
      <c r="A1119" s="527"/>
      <c r="B1119" s="294" t="s">
        <v>346</v>
      </c>
      <c r="C1119" s="291" t="s">
        <v>163</v>
      </c>
      <c r="D1119" s="295"/>
      <c r="E1119" s="295"/>
      <c r="F1119" s="295"/>
      <c r="G1119" s="295"/>
      <c r="H1119" s="295"/>
      <c r="I1119" s="295"/>
      <c r="J1119" s="295"/>
      <c r="K1119" s="295"/>
      <c r="L1119" s="295"/>
      <c r="M1119" s="295"/>
      <c r="N1119" s="295">
        <f>N1118</f>
        <v>12</v>
      </c>
      <c r="O1119" s="295"/>
      <c r="P1119" s="295"/>
      <c r="Q1119" s="295"/>
      <c r="R1119" s="295"/>
      <c r="S1119" s="295"/>
      <c r="T1119" s="295"/>
      <c r="U1119" s="295"/>
      <c r="V1119" s="295"/>
      <c r="W1119" s="295"/>
      <c r="X1119" s="295"/>
      <c r="Y1119" s="410">
        <f>Y1118</f>
        <v>0</v>
      </c>
      <c r="Z1119" s="410">
        <f t="shared" ref="Z1119" si="3364">Z1118</f>
        <v>0</v>
      </c>
      <c r="AA1119" s="410">
        <f t="shared" ref="AA1119" si="3365">AA1118</f>
        <v>0</v>
      </c>
      <c r="AB1119" s="410">
        <f t="shared" ref="AB1119" si="3366">AB1118</f>
        <v>0</v>
      </c>
      <c r="AC1119" s="410">
        <f t="shared" ref="AC1119" si="3367">AC1118</f>
        <v>0</v>
      </c>
      <c r="AD1119" s="410">
        <f t="shared" ref="AD1119" si="3368">AD1118</f>
        <v>0</v>
      </c>
      <c r="AE1119" s="410">
        <f t="shared" ref="AE1119" si="3369">AE1118</f>
        <v>0</v>
      </c>
      <c r="AF1119" s="410">
        <f t="shared" ref="AF1119" si="3370">AF1118</f>
        <v>0</v>
      </c>
      <c r="AG1119" s="410">
        <f t="shared" ref="AG1119" si="3371">AG1118</f>
        <v>0</v>
      </c>
      <c r="AH1119" s="410">
        <f t="shared" ref="AH1119" si="3372">AH1118</f>
        <v>0</v>
      </c>
      <c r="AI1119" s="410">
        <f t="shared" ref="AI1119" si="3373">AI1118</f>
        <v>0</v>
      </c>
      <c r="AJ1119" s="410">
        <f t="shared" ref="AJ1119" si="3374">AJ1118</f>
        <v>0</v>
      </c>
      <c r="AK1119" s="410">
        <f t="shared" ref="AK1119" si="3375">AK1118</f>
        <v>0</v>
      </c>
      <c r="AL1119" s="410">
        <f t="shared" ref="AL1119" si="3376">AL1118</f>
        <v>0</v>
      </c>
      <c r="AM1119" s="306"/>
    </row>
    <row r="1120" spans="1:39" ht="15" hidden="1" customHeight="1" outlineLevel="1">
      <c r="A1120" s="527"/>
      <c r="B1120" s="425"/>
      <c r="C1120" s="291"/>
      <c r="D1120" s="291"/>
      <c r="E1120" s="291"/>
      <c r="F1120" s="291"/>
      <c r="G1120" s="291"/>
      <c r="H1120" s="291"/>
      <c r="I1120" s="291"/>
      <c r="J1120" s="291"/>
      <c r="K1120" s="291"/>
      <c r="L1120" s="291"/>
      <c r="M1120" s="291"/>
      <c r="N1120" s="291"/>
      <c r="O1120" s="291"/>
      <c r="P1120" s="291"/>
      <c r="Q1120" s="291"/>
      <c r="R1120" s="291"/>
      <c r="S1120" s="291"/>
      <c r="T1120" s="291"/>
      <c r="U1120" s="291"/>
      <c r="V1120" s="291"/>
      <c r="W1120" s="291"/>
      <c r="X1120" s="291"/>
      <c r="Y1120" s="411"/>
      <c r="Z1120" s="422"/>
      <c r="AA1120" s="422"/>
      <c r="AB1120" s="422"/>
      <c r="AC1120" s="422"/>
      <c r="AD1120" s="422"/>
      <c r="AE1120" s="422"/>
      <c r="AF1120" s="422"/>
      <c r="AG1120" s="422"/>
      <c r="AH1120" s="422"/>
      <c r="AI1120" s="422"/>
      <c r="AJ1120" s="422"/>
      <c r="AK1120" s="422"/>
      <c r="AL1120" s="422"/>
      <c r="AM1120" s="306"/>
    </row>
    <row r="1121" spans="1:39" ht="32.1" hidden="1" customHeight="1" outlineLevel="1">
      <c r="A1121" s="527">
        <v>46</v>
      </c>
      <c r="B1121" s="425" t="s">
        <v>138</v>
      </c>
      <c r="C1121" s="291" t="s">
        <v>25</v>
      </c>
      <c r="D1121" s="295"/>
      <c r="E1121" s="295"/>
      <c r="F1121" s="295"/>
      <c r="G1121" s="295"/>
      <c r="H1121" s="295"/>
      <c r="I1121" s="295"/>
      <c r="J1121" s="295"/>
      <c r="K1121" s="295"/>
      <c r="L1121" s="295"/>
      <c r="M1121" s="295"/>
      <c r="N1121" s="295">
        <v>12</v>
      </c>
      <c r="O1121" s="295"/>
      <c r="P1121" s="295"/>
      <c r="Q1121" s="295"/>
      <c r="R1121" s="295"/>
      <c r="S1121" s="295"/>
      <c r="T1121" s="295"/>
      <c r="U1121" s="295"/>
      <c r="V1121" s="295"/>
      <c r="W1121" s="295"/>
      <c r="X1121" s="295"/>
      <c r="Y1121" s="423"/>
      <c r="Z1121" s="414"/>
      <c r="AA1121" s="414"/>
      <c r="AB1121" s="414"/>
      <c r="AC1121" s="414"/>
      <c r="AD1121" s="414"/>
      <c r="AE1121" s="414"/>
      <c r="AF1121" s="414"/>
      <c r="AG1121" s="414"/>
      <c r="AH1121" s="414"/>
      <c r="AI1121" s="414"/>
      <c r="AJ1121" s="414"/>
      <c r="AK1121" s="414"/>
      <c r="AL1121" s="414"/>
      <c r="AM1121" s="296">
        <f>SUM(Y1121:AL1121)</f>
        <v>0</v>
      </c>
    </row>
    <row r="1122" spans="1:39" ht="15" hidden="1" customHeight="1" outlineLevel="1">
      <c r="A1122" s="527"/>
      <c r="B1122" s="294" t="s">
        <v>346</v>
      </c>
      <c r="C1122" s="291" t="s">
        <v>163</v>
      </c>
      <c r="D1122" s="295"/>
      <c r="E1122" s="295"/>
      <c r="F1122" s="295"/>
      <c r="G1122" s="295"/>
      <c r="H1122" s="295"/>
      <c r="I1122" s="295"/>
      <c r="J1122" s="295"/>
      <c r="K1122" s="295"/>
      <c r="L1122" s="295"/>
      <c r="M1122" s="295"/>
      <c r="N1122" s="295">
        <f>N1121</f>
        <v>12</v>
      </c>
      <c r="O1122" s="295"/>
      <c r="P1122" s="295"/>
      <c r="Q1122" s="295"/>
      <c r="R1122" s="295"/>
      <c r="S1122" s="295"/>
      <c r="T1122" s="295"/>
      <c r="U1122" s="295"/>
      <c r="V1122" s="295"/>
      <c r="W1122" s="295"/>
      <c r="X1122" s="295"/>
      <c r="Y1122" s="410">
        <f>Y1121</f>
        <v>0</v>
      </c>
      <c r="Z1122" s="410">
        <f t="shared" ref="Z1122" si="3377">Z1121</f>
        <v>0</v>
      </c>
      <c r="AA1122" s="410">
        <f t="shared" ref="AA1122" si="3378">AA1121</f>
        <v>0</v>
      </c>
      <c r="AB1122" s="410">
        <f t="shared" ref="AB1122" si="3379">AB1121</f>
        <v>0</v>
      </c>
      <c r="AC1122" s="410">
        <f t="shared" ref="AC1122" si="3380">AC1121</f>
        <v>0</v>
      </c>
      <c r="AD1122" s="410">
        <f t="shared" ref="AD1122" si="3381">AD1121</f>
        <v>0</v>
      </c>
      <c r="AE1122" s="410">
        <f t="shared" ref="AE1122" si="3382">AE1121</f>
        <v>0</v>
      </c>
      <c r="AF1122" s="410">
        <f t="shared" ref="AF1122" si="3383">AF1121</f>
        <v>0</v>
      </c>
      <c r="AG1122" s="410">
        <f t="shared" ref="AG1122" si="3384">AG1121</f>
        <v>0</v>
      </c>
      <c r="AH1122" s="410">
        <f t="shared" ref="AH1122" si="3385">AH1121</f>
        <v>0</v>
      </c>
      <c r="AI1122" s="410">
        <f t="shared" ref="AI1122" si="3386">AI1121</f>
        <v>0</v>
      </c>
      <c r="AJ1122" s="410">
        <f t="shared" ref="AJ1122" si="3387">AJ1121</f>
        <v>0</v>
      </c>
      <c r="AK1122" s="410">
        <f t="shared" ref="AK1122" si="3388">AK1121</f>
        <v>0</v>
      </c>
      <c r="AL1122" s="410">
        <f t="shared" ref="AL1122" si="3389">AL1121</f>
        <v>0</v>
      </c>
      <c r="AM1122" s="306"/>
    </row>
    <row r="1123" spans="1:39" ht="15" hidden="1" customHeight="1" outlineLevel="1">
      <c r="A1123" s="527"/>
      <c r="B1123" s="425"/>
      <c r="C1123" s="291"/>
      <c r="D1123" s="291"/>
      <c r="E1123" s="291"/>
      <c r="F1123" s="291"/>
      <c r="G1123" s="291"/>
      <c r="H1123" s="291"/>
      <c r="I1123" s="291"/>
      <c r="J1123" s="291"/>
      <c r="K1123" s="291"/>
      <c r="L1123" s="291"/>
      <c r="M1123" s="291"/>
      <c r="N1123" s="291"/>
      <c r="O1123" s="291"/>
      <c r="P1123" s="291"/>
      <c r="Q1123" s="291"/>
      <c r="R1123" s="291"/>
      <c r="S1123" s="291"/>
      <c r="T1123" s="291"/>
      <c r="U1123" s="291"/>
      <c r="V1123" s="291"/>
      <c r="W1123" s="291"/>
      <c r="X1123" s="291"/>
      <c r="Y1123" s="411"/>
      <c r="Z1123" s="422"/>
      <c r="AA1123" s="422"/>
      <c r="AB1123" s="422"/>
      <c r="AC1123" s="422"/>
      <c r="AD1123" s="422"/>
      <c r="AE1123" s="422"/>
      <c r="AF1123" s="422"/>
      <c r="AG1123" s="422"/>
      <c r="AH1123" s="422"/>
      <c r="AI1123" s="422"/>
      <c r="AJ1123" s="422"/>
      <c r="AK1123" s="422"/>
      <c r="AL1123" s="422"/>
      <c r="AM1123" s="306"/>
    </row>
    <row r="1124" spans="1:39" ht="35.450000000000003" hidden="1" customHeight="1" outlineLevel="1">
      <c r="A1124" s="527">
        <v>47</v>
      </c>
      <c r="B1124" s="425" t="s">
        <v>139</v>
      </c>
      <c r="C1124" s="291" t="s">
        <v>25</v>
      </c>
      <c r="D1124" s="295"/>
      <c r="E1124" s="295"/>
      <c r="F1124" s="295"/>
      <c r="G1124" s="295"/>
      <c r="H1124" s="295"/>
      <c r="I1124" s="295"/>
      <c r="J1124" s="295"/>
      <c r="K1124" s="295"/>
      <c r="L1124" s="295"/>
      <c r="M1124" s="295"/>
      <c r="N1124" s="295">
        <v>12</v>
      </c>
      <c r="O1124" s="295"/>
      <c r="P1124" s="295"/>
      <c r="Q1124" s="295"/>
      <c r="R1124" s="295"/>
      <c r="S1124" s="295"/>
      <c r="T1124" s="295"/>
      <c r="U1124" s="295"/>
      <c r="V1124" s="295"/>
      <c r="W1124" s="295"/>
      <c r="X1124" s="295"/>
      <c r="Y1124" s="423"/>
      <c r="Z1124" s="414"/>
      <c r="AA1124" s="414"/>
      <c r="AB1124" s="414"/>
      <c r="AC1124" s="414"/>
      <c r="AD1124" s="414"/>
      <c r="AE1124" s="414"/>
      <c r="AF1124" s="414"/>
      <c r="AG1124" s="414"/>
      <c r="AH1124" s="414"/>
      <c r="AI1124" s="414"/>
      <c r="AJ1124" s="414"/>
      <c r="AK1124" s="414"/>
      <c r="AL1124" s="414"/>
      <c r="AM1124" s="296">
        <f>SUM(Y1124:AL1124)</f>
        <v>0</v>
      </c>
    </row>
    <row r="1125" spans="1:39" ht="15" hidden="1" customHeight="1" outlineLevel="1">
      <c r="A1125" s="527"/>
      <c r="B1125" s="294" t="s">
        <v>346</v>
      </c>
      <c r="C1125" s="291" t="s">
        <v>163</v>
      </c>
      <c r="D1125" s="295"/>
      <c r="E1125" s="295"/>
      <c r="F1125" s="295"/>
      <c r="G1125" s="295"/>
      <c r="H1125" s="295"/>
      <c r="I1125" s="295"/>
      <c r="J1125" s="295"/>
      <c r="K1125" s="295"/>
      <c r="L1125" s="295"/>
      <c r="M1125" s="295"/>
      <c r="N1125" s="295">
        <f>N1124</f>
        <v>12</v>
      </c>
      <c r="O1125" s="295"/>
      <c r="P1125" s="295"/>
      <c r="Q1125" s="295"/>
      <c r="R1125" s="295"/>
      <c r="S1125" s="295"/>
      <c r="T1125" s="295"/>
      <c r="U1125" s="295"/>
      <c r="V1125" s="295"/>
      <c r="W1125" s="295"/>
      <c r="X1125" s="295"/>
      <c r="Y1125" s="410">
        <f>Y1124</f>
        <v>0</v>
      </c>
      <c r="Z1125" s="410">
        <f t="shared" ref="Z1125" si="3390">Z1124</f>
        <v>0</v>
      </c>
      <c r="AA1125" s="410">
        <f t="shared" ref="AA1125" si="3391">AA1124</f>
        <v>0</v>
      </c>
      <c r="AB1125" s="410">
        <f t="shared" ref="AB1125" si="3392">AB1124</f>
        <v>0</v>
      </c>
      <c r="AC1125" s="410">
        <f t="shared" ref="AC1125" si="3393">AC1124</f>
        <v>0</v>
      </c>
      <c r="AD1125" s="410">
        <f t="shared" ref="AD1125" si="3394">AD1124</f>
        <v>0</v>
      </c>
      <c r="AE1125" s="410">
        <f t="shared" ref="AE1125" si="3395">AE1124</f>
        <v>0</v>
      </c>
      <c r="AF1125" s="410">
        <f t="shared" ref="AF1125" si="3396">AF1124</f>
        <v>0</v>
      </c>
      <c r="AG1125" s="410">
        <f t="shared" ref="AG1125" si="3397">AG1124</f>
        <v>0</v>
      </c>
      <c r="AH1125" s="410">
        <f t="shared" ref="AH1125" si="3398">AH1124</f>
        <v>0</v>
      </c>
      <c r="AI1125" s="410">
        <f t="shared" ref="AI1125" si="3399">AI1124</f>
        <v>0</v>
      </c>
      <c r="AJ1125" s="410">
        <f t="shared" ref="AJ1125" si="3400">AJ1124</f>
        <v>0</v>
      </c>
      <c r="AK1125" s="410">
        <f t="shared" ref="AK1125" si="3401">AK1124</f>
        <v>0</v>
      </c>
      <c r="AL1125" s="410">
        <f t="shared" ref="AL1125" si="3402">AL1124</f>
        <v>0</v>
      </c>
      <c r="AM1125" s="306"/>
    </row>
    <row r="1126" spans="1:39" ht="15" hidden="1" customHeight="1" outlineLevel="1">
      <c r="A1126" s="527"/>
      <c r="B1126" s="425"/>
      <c r="C1126" s="291"/>
      <c r="D1126" s="291"/>
      <c r="E1126" s="291"/>
      <c r="F1126" s="291"/>
      <c r="G1126" s="291"/>
      <c r="H1126" s="291"/>
      <c r="I1126" s="291"/>
      <c r="J1126" s="291"/>
      <c r="K1126" s="291"/>
      <c r="L1126" s="291"/>
      <c r="M1126" s="291"/>
      <c r="N1126" s="291"/>
      <c r="O1126" s="291"/>
      <c r="P1126" s="291"/>
      <c r="Q1126" s="291"/>
      <c r="R1126" s="291"/>
      <c r="S1126" s="291"/>
      <c r="T1126" s="291"/>
      <c r="U1126" s="291"/>
      <c r="V1126" s="291"/>
      <c r="W1126" s="291"/>
      <c r="X1126" s="291"/>
      <c r="Y1126" s="411"/>
      <c r="Z1126" s="422"/>
      <c r="AA1126" s="422"/>
      <c r="AB1126" s="422"/>
      <c r="AC1126" s="422"/>
      <c r="AD1126" s="422"/>
      <c r="AE1126" s="422"/>
      <c r="AF1126" s="422"/>
      <c r="AG1126" s="422"/>
      <c r="AH1126" s="422"/>
      <c r="AI1126" s="422"/>
      <c r="AJ1126" s="422"/>
      <c r="AK1126" s="422"/>
      <c r="AL1126" s="422"/>
      <c r="AM1126" s="306"/>
    </row>
    <row r="1127" spans="1:39" ht="39.75" hidden="1" customHeight="1" outlineLevel="1">
      <c r="A1127" s="527">
        <v>48</v>
      </c>
      <c r="B1127" s="425" t="s">
        <v>140</v>
      </c>
      <c r="C1127" s="291" t="s">
        <v>25</v>
      </c>
      <c r="D1127" s="295"/>
      <c r="E1127" s="295"/>
      <c r="F1127" s="295"/>
      <c r="G1127" s="295"/>
      <c r="H1127" s="295"/>
      <c r="I1127" s="295"/>
      <c r="J1127" s="295"/>
      <c r="K1127" s="295"/>
      <c r="L1127" s="295"/>
      <c r="M1127" s="295"/>
      <c r="N1127" s="295">
        <v>12</v>
      </c>
      <c r="O1127" s="295"/>
      <c r="P1127" s="295"/>
      <c r="Q1127" s="295"/>
      <c r="R1127" s="295"/>
      <c r="S1127" s="295"/>
      <c r="T1127" s="295"/>
      <c r="U1127" s="295"/>
      <c r="V1127" s="295"/>
      <c r="W1127" s="295"/>
      <c r="X1127" s="295"/>
      <c r="Y1127" s="423"/>
      <c r="Z1127" s="414"/>
      <c r="AA1127" s="414"/>
      <c r="AB1127" s="414"/>
      <c r="AC1127" s="414"/>
      <c r="AD1127" s="414"/>
      <c r="AE1127" s="414"/>
      <c r="AF1127" s="414"/>
      <c r="AG1127" s="414"/>
      <c r="AH1127" s="414"/>
      <c r="AI1127" s="414"/>
      <c r="AJ1127" s="414"/>
      <c r="AK1127" s="414"/>
      <c r="AL1127" s="414"/>
      <c r="AM1127" s="296">
        <f>SUM(Y1127:AL1127)</f>
        <v>0</v>
      </c>
    </row>
    <row r="1128" spans="1:39" ht="15" hidden="1" customHeight="1" outlineLevel="1">
      <c r="A1128" s="527"/>
      <c r="B1128" s="294" t="s">
        <v>346</v>
      </c>
      <c r="C1128" s="291" t="s">
        <v>163</v>
      </c>
      <c r="D1128" s="295"/>
      <c r="E1128" s="295"/>
      <c r="F1128" s="295"/>
      <c r="G1128" s="295"/>
      <c r="H1128" s="295"/>
      <c r="I1128" s="295"/>
      <c r="J1128" s="295"/>
      <c r="K1128" s="295"/>
      <c r="L1128" s="295"/>
      <c r="M1128" s="295"/>
      <c r="N1128" s="295">
        <f>N1127</f>
        <v>12</v>
      </c>
      <c r="O1128" s="295"/>
      <c r="P1128" s="295"/>
      <c r="Q1128" s="295"/>
      <c r="R1128" s="295"/>
      <c r="S1128" s="295"/>
      <c r="T1128" s="295"/>
      <c r="U1128" s="295"/>
      <c r="V1128" s="295"/>
      <c r="W1128" s="295"/>
      <c r="X1128" s="295"/>
      <c r="Y1128" s="410">
        <f>Y1127</f>
        <v>0</v>
      </c>
      <c r="Z1128" s="410">
        <f t="shared" ref="Z1128" si="3403">Z1127</f>
        <v>0</v>
      </c>
      <c r="AA1128" s="410">
        <f t="shared" ref="AA1128" si="3404">AA1127</f>
        <v>0</v>
      </c>
      <c r="AB1128" s="410">
        <f t="shared" ref="AB1128" si="3405">AB1127</f>
        <v>0</v>
      </c>
      <c r="AC1128" s="410">
        <f t="shared" ref="AC1128" si="3406">AC1127</f>
        <v>0</v>
      </c>
      <c r="AD1128" s="410">
        <f t="shared" ref="AD1128" si="3407">AD1127</f>
        <v>0</v>
      </c>
      <c r="AE1128" s="410">
        <f t="shared" ref="AE1128" si="3408">AE1127</f>
        <v>0</v>
      </c>
      <c r="AF1128" s="410">
        <f t="shared" ref="AF1128" si="3409">AF1127</f>
        <v>0</v>
      </c>
      <c r="AG1128" s="410">
        <f t="shared" ref="AG1128" si="3410">AG1127</f>
        <v>0</v>
      </c>
      <c r="AH1128" s="410">
        <f t="shared" ref="AH1128" si="3411">AH1127</f>
        <v>0</v>
      </c>
      <c r="AI1128" s="410">
        <f t="shared" ref="AI1128" si="3412">AI1127</f>
        <v>0</v>
      </c>
      <c r="AJ1128" s="410">
        <f t="shared" ref="AJ1128" si="3413">AJ1127</f>
        <v>0</v>
      </c>
      <c r="AK1128" s="410">
        <f t="shared" ref="AK1128" si="3414">AK1127</f>
        <v>0</v>
      </c>
      <c r="AL1128" s="410">
        <f t="shared" ref="AL1128" si="3415">AL1127</f>
        <v>0</v>
      </c>
      <c r="AM1128" s="306"/>
    </row>
    <row r="1129" spans="1:39" ht="15" hidden="1" customHeight="1" outlineLevel="1">
      <c r="A1129" s="527"/>
      <c r="B1129" s="425"/>
      <c r="C1129" s="291"/>
      <c r="D1129" s="291"/>
      <c r="E1129" s="291"/>
      <c r="F1129" s="291"/>
      <c r="G1129" s="291"/>
      <c r="H1129" s="291"/>
      <c r="I1129" s="291"/>
      <c r="J1129" s="291"/>
      <c r="K1129" s="291"/>
      <c r="L1129" s="291"/>
      <c r="M1129" s="291"/>
      <c r="N1129" s="291"/>
      <c r="O1129" s="291"/>
      <c r="P1129" s="291"/>
      <c r="Q1129" s="291"/>
      <c r="R1129" s="291"/>
      <c r="S1129" s="291"/>
      <c r="T1129" s="291"/>
      <c r="U1129" s="291"/>
      <c r="V1129" s="291"/>
      <c r="W1129" s="291"/>
      <c r="X1129" s="291"/>
      <c r="Y1129" s="411"/>
      <c r="Z1129" s="422"/>
      <c r="AA1129" s="422"/>
      <c r="AB1129" s="422"/>
      <c r="AC1129" s="422"/>
      <c r="AD1129" s="422"/>
      <c r="AE1129" s="422"/>
      <c r="AF1129" s="422"/>
      <c r="AG1129" s="422"/>
      <c r="AH1129" s="422"/>
      <c r="AI1129" s="422"/>
      <c r="AJ1129" s="422"/>
      <c r="AK1129" s="422"/>
      <c r="AL1129" s="422"/>
      <c r="AM1129" s="306"/>
    </row>
    <row r="1130" spans="1:39" ht="33" hidden="1" customHeight="1" outlineLevel="1">
      <c r="A1130" s="527">
        <v>49</v>
      </c>
      <c r="B1130" s="425" t="s">
        <v>141</v>
      </c>
      <c r="C1130" s="291" t="s">
        <v>25</v>
      </c>
      <c r="D1130" s="295"/>
      <c r="E1130" s="295"/>
      <c r="F1130" s="295"/>
      <c r="G1130" s="295"/>
      <c r="H1130" s="295"/>
      <c r="I1130" s="295"/>
      <c r="J1130" s="295"/>
      <c r="K1130" s="295"/>
      <c r="L1130" s="295"/>
      <c r="M1130" s="295"/>
      <c r="N1130" s="295">
        <v>12</v>
      </c>
      <c r="O1130" s="295"/>
      <c r="P1130" s="295"/>
      <c r="Q1130" s="295"/>
      <c r="R1130" s="295"/>
      <c r="S1130" s="295"/>
      <c r="T1130" s="295"/>
      <c r="U1130" s="295"/>
      <c r="V1130" s="295"/>
      <c r="W1130" s="295"/>
      <c r="X1130" s="295"/>
      <c r="Y1130" s="423"/>
      <c r="Z1130" s="414"/>
      <c r="AA1130" s="414"/>
      <c r="AB1130" s="414"/>
      <c r="AC1130" s="414"/>
      <c r="AD1130" s="414"/>
      <c r="AE1130" s="414"/>
      <c r="AF1130" s="414"/>
      <c r="AG1130" s="414"/>
      <c r="AH1130" s="414"/>
      <c r="AI1130" s="414"/>
      <c r="AJ1130" s="414"/>
      <c r="AK1130" s="414"/>
      <c r="AL1130" s="414"/>
      <c r="AM1130" s="296">
        <f>SUM(Y1130:AL1130)</f>
        <v>0</v>
      </c>
    </row>
    <row r="1131" spans="1:39" ht="15" hidden="1" customHeight="1" outlineLevel="1">
      <c r="A1131" s="527"/>
      <c r="B1131" s="294" t="s">
        <v>346</v>
      </c>
      <c r="C1131" s="291" t="s">
        <v>163</v>
      </c>
      <c r="D1131" s="295"/>
      <c r="E1131" s="295"/>
      <c r="F1131" s="295"/>
      <c r="G1131" s="295"/>
      <c r="H1131" s="295"/>
      <c r="I1131" s="295"/>
      <c r="J1131" s="295"/>
      <c r="K1131" s="295"/>
      <c r="L1131" s="295"/>
      <c r="M1131" s="295"/>
      <c r="N1131" s="295">
        <f>N1130</f>
        <v>12</v>
      </c>
      <c r="O1131" s="295"/>
      <c r="P1131" s="295"/>
      <c r="Q1131" s="295"/>
      <c r="R1131" s="295"/>
      <c r="S1131" s="295"/>
      <c r="T1131" s="295"/>
      <c r="U1131" s="295"/>
      <c r="V1131" s="295"/>
      <c r="W1131" s="295"/>
      <c r="X1131" s="295"/>
      <c r="Y1131" s="410">
        <f>Y1130</f>
        <v>0</v>
      </c>
      <c r="Z1131" s="410">
        <f t="shared" ref="Z1131" si="3416">Z1130</f>
        <v>0</v>
      </c>
      <c r="AA1131" s="410">
        <f t="shared" ref="AA1131" si="3417">AA1130</f>
        <v>0</v>
      </c>
      <c r="AB1131" s="410">
        <f t="shared" ref="AB1131" si="3418">AB1130</f>
        <v>0</v>
      </c>
      <c r="AC1131" s="410">
        <f t="shared" ref="AC1131" si="3419">AC1130</f>
        <v>0</v>
      </c>
      <c r="AD1131" s="410">
        <f t="shared" ref="AD1131" si="3420">AD1130</f>
        <v>0</v>
      </c>
      <c r="AE1131" s="410">
        <f t="shared" ref="AE1131" si="3421">AE1130</f>
        <v>0</v>
      </c>
      <c r="AF1131" s="410">
        <f t="shared" ref="AF1131" si="3422">AF1130</f>
        <v>0</v>
      </c>
      <c r="AG1131" s="410">
        <f t="shared" ref="AG1131" si="3423">AG1130</f>
        <v>0</v>
      </c>
      <c r="AH1131" s="410">
        <f t="shared" ref="AH1131" si="3424">AH1130</f>
        <v>0</v>
      </c>
      <c r="AI1131" s="410">
        <f t="shared" ref="AI1131" si="3425">AI1130</f>
        <v>0</v>
      </c>
      <c r="AJ1131" s="410">
        <f t="shared" ref="AJ1131" si="3426">AJ1130</f>
        <v>0</v>
      </c>
      <c r="AK1131" s="410">
        <f t="shared" ref="AK1131" si="3427">AK1130</f>
        <v>0</v>
      </c>
      <c r="AL1131" s="410">
        <f t="shared" ref="AL1131" si="3428">AL1130</f>
        <v>0</v>
      </c>
      <c r="AM1131" s="306"/>
    </row>
    <row r="1132" spans="1:39" ht="15" hidden="1" customHeight="1" outlineLevel="1">
      <c r="A1132" s="527"/>
      <c r="B1132" s="294"/>
      <c r="C1132" s="305"/>
      <c r="D1132" s="291"/>
      <c r="E1132" s="291"/>
      <c r="F1132" s="291"/>
      <c r="G1132" s="291"/>
      <c r="H1132" s="291"/>
      <c r="I1132" s="291"/>
      <c r="J1132" s="291"/>
      <c r="K1132" s="291"/>
      <c r="L1132" s="291"/>
      <c r="M1132" s="291"/>
      <c r="N1132" s="291"/>
      <c r="O1132" s="291"/>
      <c r="P1132" s="291"/>
      <c r="Q1132" s="291"/>
      <c r="R1132" s="291"/>
      <c r="S1132" s="291"/>
      <c r="T1132" s="291"/>
      <c r="U1132" s="291"/>
      <c r="V1132" s="291"/>
      <c r="W1132" s="291"/>
      <c r="X1132" s="291"/>
      <c r="Y1132" s="301"/>
      <c r="Z1132" s="301"/>
      <c r="AA1132" s="301"/>
      <c r="AB1132" s="301"/>
      <c r="AC1132" s="301"/>
      <c r="AD1132" s="301"/>
      <c r="AE1132" s="301"/>
      <c r="AF1132" s="301"/>
      <c r="AG1132" s="301"/>
      <c r="AH1132" s="301"/>
      <c r="AI1132" s="301"/>
      <c r="AJ1132" s="301"/>
      <c r="AK1132" s="301"/>
      <c r="AL1132" s="301"/>
      <c r="AM1132" s="306"/>
    </row>
    <row r="1133" spans="1:39" ht="15.75" collapsed="1">
      <c r="B1133" s="326" t="s">
        <v>347</v>
      </c>
      <c r="C1133" s="328"/>
      <c r="D1133" s="328">
        <f>SUM(D976:D1131)</f>
        <v>0</v>
      </c>
      <c r="E1133" s="328"/>
      <c r="F1133" s="328"/>
      <c r="G1133" s="328"/>
      <c r="H1133" s="328"/>
      <c r="I1133" s="328"/>
      <c r="J1133" s="328"/>
      <c r="K1133" s="328"/>
      <c r="L1133" s="328"/>
      <c r="M1133" s="328"/>
      <c r="N1133" s="328"/>
      <c r="O1133" s="328">
        <f>SUM(O976:O1131)</f>
        <v>0</v>
      </c>
      <c r="P1133" s="328"/>
      <c r="Q1133" s="328"/>
      <c r="R1133" s="328"/>
      <c r="S1133" s="328"/>
      <c r="T1133" s="328"/>
      <c r="U1133" s="328"/>
      <c r="V1133" s="328"/>
      <c r="W1133" s="328"/>
      <c r="X1133" s="328"/>
      <c r="Y1133" s="328">
        <f>IF(Y974="kWh",SUMPRODUCT(D976:D1131,Y976:Y1131))</f>
        <v>0</v>
      </c>
      <c r="Z1133" s="328">
        <f>IF(Z974="kWh",SUMPRODUCT(D976:D1131,Z976:Z1131))</f>
        <v>0</v>
      </c>
      <c r="AA1133" s="328">
        <f>IF(AA974="kw",SUMPRODUCT(N976:N1131,O976:O1131,AA976:AA1131),SUMPRODUCT(D976:D1131,AA976:AA1131))</f>
        <v>0</v>
      </c>
      <c r="AB1133" s="328">
        <f>IF(AB974="kw",SUMPRODUCT(N976:N1131,O976:O1131,AB976:AB1131),SUMPRODUCT(D976:D1131,AB976:AB1131))</f>
        <v>0</v>
      </c>
      <c r="AC1133" s="328">
        <f>IF(AC974="kw",SUMPRODUCT(N976:N1131,O976:O1131,AC976:AC1131),SUMPRODUCT(D976:D1131,AC976:AC1131))</f>
        <v>0</v>
      </c>
      <c r="AD1133" s="328">
        <f>IF(AD974="kw",SUMPRODUCT(N976:N1131,O976:O1131,AD976:AD1131),SUMPRODUCT(D976:D1131,AD976:AD1131))</f>
        <v>0</v>
      </c>
      <c r="AE1133" s="328">
        <f>IF(AE974="kw",SUMPRODUCT(N976:N1131,O976:O1131,AE976:AE1131),SUMPRODUCT(D976:D1131,AE976:AE1131))</f>
        <v>0</v>
      </c>
      <c r="AF1133" s="328">
        <f>IF(AF974="kw",SUMPRODUCT(N976:N1131,O976:O1131,AF976:AF1131),SUMPRODUCT(D976:D1131,AF976:AF1131))</f>
        <v>0</v>
      </c>
      <c r="AG1133" s="328">
        <f>IF(AG974="kw",SUMPRODUCT(N976:N1131,O976:O1131,AG976:AG1131),SUMPRODUCT(D976:D1131,AG976:AG1131))</f>
        <v>0</v>
      </c>
      <c r="AH1133" s="328">
        <f>IF(AH974="kw",SUMPRODUCT(N976:N1131,O976:O1131,AH976:AH1131),SUMPRODUCT(D976:D1131,AH976:AH1131))</f>
        <v>0</v>
      </c>
      <c r="AI1133" s="328">
        <f>IF(AI974="kw",SUMPRODUCT(N976:N1131,O976:O1131,AI976:AI1131),SUMPRODUCT(D976:D1131,AI976:AI1131))</f>
        <v>0</v>
      </c>
      <c r="AJ1133" s="328">
        <f>IF(AJ974="kw",SUMPRODUCT(N976:N1131,O976:O1131,AJ976:AJ1131),SUMPRODUCT(D976:D1131,AJ976:AJ1131))</f>
        <v>0</v>
      </c>
      <c r="AK1133" s="328">
        <f>IF(AK974="kw",SUMPRODUCT(N976:N1131,O976:O1131,AK976:AK1131),SUMPRODUCT(D976:D1131,AK976:AK1131))</f>
        <v>0</v>
      </c>
      <c r="AL1133" s="328">
        <f>IF(AL974="kw",SUMPRODUCT(N976:N1131,O976:O1131,AL976:AL1131),SUMPRODUCT(D976:D1131,AL976:AL1131))</f>
        <v>0</v>
      </c>
      <c r="AM1133" s="329"/>
    </row>
    <row r="1134" spans="1:39" ht="15.75">
      <c r="B1134" s="390" t="s">
        <v>348</v>
      </c>
      <c r="C1134" s="391"/>
      <c r="D1134" s="391"/>
      <c r="E1134" s="391"/>
      <c r="F1134" s="391"/>
      <c r="G1134" s="391"/>
      <c r="H1134" s="391"/>
      <c r="I1134" s="391"/>
      <c r="J1134" s="391"/>
      <c r="K1134" s="391"/>
      <c r="L1134" s="391"/>
      <c r="M1134" s="391"/>
      <c r="N1134" s="391"/>
      <c r="O1134" s="391"/>
      <c r="P1134" s="391"/>
      <c r="Q1134" s="391"/>
      <c r="R1134" s="391"/>
      <c r="S1134" s="391"/>
      <c r="T1134" s="391"/>
      <c r="U1134" s="391"/>
      <c r="V1134" s="391"/>
      <c r="W1134" s="391"/>
      <c r="X1134" s="391"/>
      <c r="Y1134" s="391">
        <f>HLOOKUP(Y790,'2. LRAMVA Threshold'!$B$42:$Q$53,12,FALSE)</f>
        <v>0</v>
      </c>
      <c r="Z1134" s="391">
        <f>HLOOKUP(Z790,'2. LRAMVA Threshold'!$B$42:$Q$53,12,FALSE)</f>
        <v>0</v>
      </c>
      <c r="AA1134" s="391">
        <f>HLOOKUP(AA790,'2. LRAMVA Threshold'!$B$42:$Q$53,12,FALSE)</f>
        <v>0</v>
      </c>
      <c r="AB1134" s="391">
        <f>HLOOKUP(AB790,'2. LRAMVA Threshold'!$B$42:$Q$53,12,FALSE)</f>
        <v>0</v>
      </c>
      <c r="AC1134" s="391">
        <f>HLOOKUP(AC790,'2. LRAMVA Threshold'!$B$42:$Q$53,12,FALSE)</f>
        <v>0</v>
      </c>
      <c r="AD1134" s="391">
        <f>HLOOKUP(AD790,'2. LRAMVA Threshold'!$B$42:$Q$53,12,FALSE)</f>
        <v>0</v>
      </c>
      <c r="AE1134" s="391">
        <f>HLOOKUP(AE790,'2. LRAMVA Threshold'!$B$42:$Q$53,12,FALSE)</f>
        <v>0</v>
      </c>
      <c r="AF1134" s="391">
        <f>HLOOKUP(AF790,'2. LRAMVA Threshold'!$B$42:$Q$53,12,FALSE)</f>
        <v>0</v>
      </c>
      <c r="AG1134" s="391">
        <f>HLOOKUP(AG790,'2. LRAMVA Threshold'!$B$42:$Q$53,12,FALSE)</f>
        <v>0</v>
      </c>
      <c r="AH1134" s="391">
        <f>HLOOKUP(AH790,'2. LRAMVA Threshold'!$B$42:$Q$53,12,FALSE)</f>
        <v>0</v>
      </c>
      <c r="AI1134" s="391">
        <f>HLOOKUP(AI790,'2. LRAMVA Threshold'!$B$42:$Q$53,12,FALSE)</f>
        <v>0</v>
      </c>
      <c r="AJ1134" s="391">
        <f>HLOOKUP(AJ790,'2. LRAMVA Threshold'!$B$42:$Q$53,12,FALSE)</f>
        <v>0</v>
      </c>
      <c r="AK1134" s="391">
        <f>HLOOKUP(AK790,'2. LRAMVA Threshold'!$B$42:$Q$53,12,FALSE)</f>
        <v>0</v>
      </c>
      <c r="AL1134" s="391">
        <f>HLOOKUP(AL790,'2. LRAMVA Threshold'!$B$42:$Q$53,12,FALSE)</f>
        <v>0</v>
      </c>
      <c r="AM1134" s="439"/>
    </row>
    <row r="1135" spans="1:39">
      <c r="B1135" s="393"/>
      <c r="C1135" s="429"/>
      <c r="D1135" s="430"/>
      <c r="E1135" s="430"/>
      <c r="F1135" s="430"/>
      <c r="G1135" s="430"/>
      <c r="H1135" s="430"/>
      <c r="I1135" s="430"/>
      <c r="J1135" s="430"/>
      <c r="K1135" s="430"/>
      <c r="L1135" s="430"/>
      <c r="M1135" s="430"/>
      <c r="N1135" s="430"/>
      <c r="O1135" s="431"/>
      <c r="P1135" s="430"/>
      <c r="Q1135" s="430"/>
      <c r="R1135" s="430"/>
      <c r="S1135" s="432"/>
      <c r="T1135" s="432"/>
      <c r="U1135" s="432"/>
      <c r="V1135" s="432"/>
      <c r="W1135" s="430"/>
      <c r="X1135" s="430"/>
      <c r="Y1135" s="433"/>
      <c r="Z1135" s="433"/>
      <c r="AA1135" s="433"/>
      <c r="AB1135" s="433"/>
      <c r="AC1135" s="433"/>
      <c r="AD1135" s="433"/>
      <c r="AE1135" s="433"/>
      <c r="AF1135" s="398"/>
      <c r="AG1135" s="398"/>
      <c r="AH1135" s="398"/>
      <c r="AI1135" s="398"/>
      <c r="AJ1135" s="398"/>
      <c r="AK1135" s="398"/>
      <c r="AL1135" s="398"/>
      <c r="AM1135" s="399"/>
    </row>
    <row r="1136" spans="1:39">
      <c r="B1136" s="323" t="s">
        <v>349</v>
      </c>
      <c r="C1136" s="337"/>
      <c r="D1136" s="337"/>
      <c r="E1136" s="375"/>
      <c r="F1136" s="375"/>
      <c r="G1136" s="375"/>
      <c r="H1136" s="375"/>
      <c r="I1136" s="375"/>
      <c r="J1136" s="375"/>
      <c r="K1136" s="375"/>
      <c r="L1136" s="375"/>
      <c r="M1136" s="375"/>
      <c r="N1136" s="375"/>
      <c r="O1136" s="291"/>
      <c r="P1136" s="339"/>
      <c r="Q1136" s="339"/>
      <c r="R1136" s="339"/>
      <c r="S1136" s="338"/>
      <c r="T1136" s="338"/>
      <c r="U1136" s="338"/>
      <c r="V1136" s="338"/>
      <c r="W1136" s="339"/>
      <c r="X1136" s="339"/>
      <c r="Y1136" s="340">
        <f>HLOOKUP(Y$35,'3.  Distribution Rates'!$C$122:$P$133,12,FALSE)</f>
        <v>0</v>
      </c>
      <c r="Z1136" s="340">
        <f>HLOOKUP(Z$35,'3.  Distribution Rates'!$C$122:$P$133,12,FALSE)</f>
        <v>0</v>
      </c>
      <c r="AA1136" s="340">
        <f>HLOOKUP(AA$35,'3.  Distribution Rates'!$C$122:$P$133,12,FALSE)</f>
        <v>0</v>
      </c>
      <c r="AB1136" s="340">
        <f>HLOOKUP(AB$35,'3.  Distribution Rates'!$C$122:$P$133,12,FALSE)</f>
        <v>0</v>
      </c>
      <c r="AC1136" s="340">
        <f>HLOOKUP(AC$35,'3.  Distribution Rates'!$C$122:$P$133,12,FALSE)</f>
        <v>0</v>
      </c>
      <c r="AD1136" s="340">
        <f>HLOOKUP(AD$35,'3.  Distribution Rates'!$C$122:$P$133,12,FALSE)</f>
        <v>0</v>
      </c>
      <c r="AE1136" s="340">
        <f>HLOOKUP(AE$35,'3.  Distribution Rates'!$C$122:$P$133,12,FALSE)</f>
        <v>0</v>
      </c>
      <c r="AF1136" s="340">
        <f>HLOOKUP(AF$35,'3.  Distribution Rates'!$C$122:$P$133,12,FALSE)</f>
        <v>0</v>
      </c>
      <c r="AG1136" s="340">
        <f>HLOOKUP(AG$35,'3.  Distribution Rates'!$C$122:$P$133,12,FALSE)</f>
        <v>0</v>
      </c>
      <c r="AH1136" s="340">
        <f>HLOOKUP(AH$35,'3.  Distribution Rates'!$C$122:$P$133,12,FALSE)</f>
        <v>0</v>
      </c>
      <c r="AI1136" s="340">
        <f>HLOOKUP(AI$35,'3.  Distribution Rates'!$C$122:$P$133,12,FALSE)</f>
        <v>0</v>
      </c>
      <c r="AJ1136" s="340">
        <f>HLOOKUP(AJ$35,'3.  Distribution Rates'!$C$122:$P$133,12,FALSE)</f>
        <v>0</v>
      </c>
      <c r="AK1136" s="340">
        <f>HLOOKUP(AK$35,'3.  Distribution Rates'!$C$122:$P$133,12,FALSE)</f>
        <v>0</v>
      </c>
      <c r="AL1136" s="340">
        <f>HLOOKUP(AL$35,'3.  Distribution Rates'!$C$122:$P$133,12,FALSE)</f>
        <v>0</v>
      </c>
      <c r="AM1136" s="441"/>
    </row>
    <row r="1137" spans="2:39">
      <c r="B1137" s="323" t="s">
        <v>353</v>
      </c>
      <c r="C1137" s="344"/>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7">
        <f>'4.  2011-2014 LRAM'!Y143*Y1136</f>
        <v>0</v>
      </c>
      <c r="Z1137" s="377">
        <f>'4.  2011-2014 LRAM'!Z143*Z1136</f>
        <v>0</v>
      </c>
      <c r="AA1137" s="377">
        <f>'4.  2011-2014 LRAM'!AA143*AA1136</f>
        <v>0</v>
      </c>
      <c r="AB1137" s="377">
        <f>'4.  2011-2014 LRAM'!AB143*AB1136</f>
        <v>0</v>
      </c>
      <c r="AC1137" s="377">
        <f>'4.  2011-2014 LRAM'!AC143*AC1136</f>
        <v>0</v>
      </c>
      <c r="AD1137" s="377">
        <f>'4.  2011-2014 LRAM'!AD143*AD1136</f>
        <v>0</v>
      </c>
      <c r="AE1137" s="377">
        <f>'4.  2011-2014 LRAM'!AE143*AE1136</f>
        <v>0</v>
      </c>
      <c r="AF1137" s="377">
        <f>'4.  2011-2014 LRAM'!AF143*AF1136</f>
        <v>0</v>
      </c>
      <c r="AG1137" s="377">
        <f>'4.  2011-2014 LRAM'!AG143*AG1136</f>
        <v>0</v>
      </c>
      <c r="AH1137" s="377">
        <f>'4.  2011-2014 LRAM'!AH143*AH1136</f>
        <v>0</v>
      </c>
      <c r="AI1137" s="377">
        <f>'4.  2011-2014 LRAM'!AI143*AI1136</f>
        <v>0</v>
      </c>
      <c r="AJ1137" s="377">
        <f>'4.  2011-2014 LRAM'!AJ143*AJ1136</f>
        <v>0</v>
      </c>
      <c r="AK1137" s="377">
        <f>'4.  2011-2014 LRAM'!AK143*AK1136</f>
        <v>0</v>
      </c>
      <c r="AL1137" s="377">
        <f>'4.  2011-2014 LRAM'!AL143*AL1136</f>
        <v>0</v>
      </c>
      <c r="AM1137" s="624">
        <f t="shared" ref="AM1137:AM1146" si="3429">SUM(Y1137:AL1137)</f>
        <v>0</v>
      </c>
    </row>
    <row r="1138" spans="2:39">
      <c r="B1138" s="323" t="s">
        <v>354</v>
      </c>
      <c r="C1138" s="344"/>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7">
        <f>'4.  2011-2014 LRAM'!Y272*Y1136</f>
        <v>0</v>
      </c>
      <c r="Z1138" s="377">
        <f>'4.  2011-2014 LRAM'!Z272*Z1136</f>
        <v>0</v>
      </c>
      <c r="AA1138" s="377">
        <f>'4.  2011-2014 LRAM'!AA272*AA1136</f>
        <v>0</v>
      </c>
      <c r="AB1138" s="377">
        <f>'4.  2011-2014 LRAM'!AB272*AB1136</f>
        <v>0</v>
      </c>
      <c r="AC1138" s="377">
        <f>'4.  2011-2014 LRAM'!AC272*AC1136</f>
        <v>0</v>
      </c>
      <c r="AD1138" s="377">
        <f>'4.  2011-2014 LRAM'!AD272*AD1136</f>
        <v>0</v>
      </c>
      <c r="AE1138" s="377">
        <f>'4.  2011-2014 LRAM'!AE272*AE1136</f>
        <v>0</v>
      </c>
      <c r="AF1138" s="377">
        <f>'4.  2011-2014 LRAM'!AF272*AF1136</f>
        <v>0</v>
      </c>
      <c r="AG1138" s="377">
        <f>'4.  2011-2014 LRAM'!AG272*AG1136</f>
        <v>0</v>
      </c>
      <c r="AH1138" s="377">
        <f>'4.  2011-2014 LRAM'!AH272*AH1136</f>
        <v>0</v>
      </c>
      <c r="AI1138" s="377">
        <f>'4.  2011-2014 LRAM'!AI272*AI1136</f>
        <v>0</v>
      </c>
      <c r="AJ1138" s="377">
        <f>'4.  2011-2014 LRAM'!AJ272*AJ1136</f>
        <v>0</v>
      </c>
      <c r="AK1138" s="377">
        <f>'4.  2011-2014 LRAM'!AK272*AK1136</f>
        <v>0</v>
      </c>
      <c r="AL1138" s="377">
        <f>'4.  2011-2014 LRAM'!AL272*AL1136</f>
        <v>0</v>
      </c>
      <c r="AM1138" s="624">
        <f t="shared" si="3429"/>
        <v>0</v>
      </c>
    </row>
    <row r="1139" spans="2:39">
      <c r="B1139" s="323" t="s">
        <v>355</v>
      </c>
      <c r="C1139" s="344"/>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7">
        <f>'4.  2011-2014 LRAM'!Y401*Y1136</f>
        <v>0</v>
      </c>
      <c r="Z1139" s="377">
        <f>'4.  2011-2014 LRAM'!Z401*Z1136</f>
        <v>0</v>
      </c>
      <c r="AA1139" s="377">
        <f>'4.  2011-2014 LRAM'!AA401*AA1136</f>
        <v>0</v>
      </c>
      <c r="AB1139" s="377">
        <f>'4.  2011-2014 LRAM'!AB401*AB1136</f>
        <v>0</v>
      </c>
      <c r="AC1139" s="377">
        <f>'4.  2011-2014 LRAM'!AC401*AC1136</f>
        <v>0</v>
      </c>
      <c r="AD1139" s="377">
        <f>'4.  2011-2014 LRAM'!AD401*AD1136</f>
        <v>0</v>
      </c>
      <c r="AE1139" s="377">
        <f>'4.  2011-2014 LRAM'!AE401*AE1136</f>
        <v>0</v>
      </c>
      <c r="AF1139" s="377">
        <f>'4.  2011-2014 LRAM'!AF401*AF1136</f>
        <v>0</v>
      </c>
      <c r="AG1139" s="377">
        <f>'4.  2011-2014 LRAM'!AG401*AG1136</f>
        <v>0</v>
      </c>
      <c r="AH1139" s="377">
        <f>'4.  2011-2014 LRAM'!AH401*AH1136</f>
        <v>0</v>
      </c>
      <c r="AI1139" s="377">
        <f>'4.  2011-2014 LRAM'!AI401*AI1136</f>
        <v>0</v>
      </c>
      <c r="AJ1139" s="377">
        <f>'4.  2011-2014 LRAM'!AJ401*AJ1136</f>
        <v>0</v>
      </c>
      <c r="AK1139" s="377">
        <f>'4.  2011-2014 LRAM'!AK401*AK1136</f>
        <v>0</v>
      </c>
      <c r="AL1139" s="377">
        <f>'4.  2011-2014 LRAM'!AL401*AL1136</f>
        <v>0</v>
      </c>
      <c r="AM1139" s="624">
        <f t="shared" si="3429"/>
        <v>0</v>
      </c>
    </row>
    <row r="1140" spans="2:39">
      <c r="B1140" s="323" t="s">
        <v>356</v>
      </c>
      <c r="C1140" s="344"/>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7">
        <f>'4.  2011-2014 LRAM'!Y531*Y1136</f>
        <v>0</v>
      </c>
      <c r="Z1140" s="377">
        <f>'4.  2011-2014 LRAM'!Z531*Z1136</f>
        <v>0</v>
      </c>
      <c r="AA1140" s="377">
        <f>'4.  2011-2014 LRAM'!AA531*AA1136</f>
        <v>0</v>
      </c>
      <c r="AB1140" s="377">
        <f>'4.  2011-2014 LRAM'!AB531*AB1136</f>
        <v>0</v>
      </c>
      <c r="AC1140" s="377">
        <f>'4.  2011-2014 LRAM'!AC531*AC1136</f>
        <v>0</v>
      </c>
      <c r="AD1140" s="377">
        <f>'4.  2011-2014 LRAM'!AD531*AD1136</f>
        <v>0</v>
      </c>
      <c r="AE1140" s="377">
        <f>'4.  2011-2014 LRAM'!AE531*AE1136</f>
        <v>0</v>
      </c>
      <c r="AF1140" s="377">
        <f>'4.  2011-2014 LRAM'!AF531*AF1136</f>
        <v>0</v>
      </c>
      <c r="AG1140" s="377">
        <f>'4.  2011-2014 LRAM'!AG531*AG1136</f>
        <v>0</v>
      </c>
      <c r="AH1140" s="377">
        <f>'4.  2011-2014 LRAM'!AH531*AH1136</f>
        <v>0</v>
      </c>
      <c r="AI1140" s="377">
        <f>'4.  2011-2014 LRAM'!AI531*AI1136</f>
        <v>0</v>
      </c>
      <c r="AJ1140" s="377">
        <f>'4.  2011-2014 LRAM'!AJ531*AJ1136</f>
        <v>0</v>
      </c>
      <c r="AK1140" s="377">
        <f>'4.  2011-2014 LRAM'!AK531*AK1136</f>
        <v>0</v>
      </c>
      <c r="AL1140" s="377">
        <f>'4.  2011-2014 LRAM'!AL531*AL1136</f>
        <v>0</v>
      </c>
      <c r="AM1140" s="624">
        <f t="shared" si="3429"/>
        <v>0</v>
      </c>
    </row>
    <row r="1141" spans="2:39">
      <c r="B1141" s="323" t="s">
        <v>357</v>
      </c>
      <c r="C1141" s="344"/>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7">
        <f t="shared" ref="Y1141:AL1141" si="3430">Y212*Y1136</f>
        <v>0</v>
      </c>
      <c r="Z1141" s="377">
        <f t="shared" si="3430"/>
        <v>0</v>
      </c>
      <c r="AA1141" s="377">
        <f t="shared" si="3430"/>
        <v>0</v>
      </c>
      <c r="AB1141" s="377">
        <f t="shared" si="3430"/>
        <v>0</v>
      </c>
      <c r="AC1141" s="377">
        <f t="shared" si="3430"/>
        <v>0</v>
      </c>
      <c r="AD1141" s="377">
        <f t="shared" si="3430"/>
        <v>0</v>
      </c>
      <c r="AE1141" s="377">
        <f t="shared" si="3430"/>
        <v>0</v>
      </c>
      <c r="AF1141" s="377">
        <f t="shared" si="3430"/>
        <v>0</v>
      </c>
      <c r="AG1141" s="377">
        <f t="shared" si="3430"/>
        <v>0</v>
      </c>
      <c r="AH1141" s="377">
        <f t="shared" si="3430"/>
        <v>0</v>
      </c>
      <c r="AI1141" s="377">
        <f t="shared" si="3430"/>
        <v>0</v>
      </c>
      <c r="AJ1141" s="377">
        <f t="shared" si="3430"/>
        <v>0</v>
      </c>
      <c r="AK1141" s="377">
        <f t="shared" si="3430"/>
        <v>0</v>
      </c>
      <c r="AL1141" s="377">
        <f t="shared" si="3430"/>
        <v>0</v>
      </c>
      <c r="AM1141" s="624">
        <f t="shared" si="3429"/>
        <v>0</v>
      </c>
    </row>
    <row r="1142" spans="2:39">
      <c r="B1142" s="323" t="s">
        <v>358</v>
      </c>
      <c r="C1142" s="344"/>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7">
        <f t="shared" ref="Y1142:AL1142" si="3431">Y398*Y1136</f>
        <v>0</v>
      </c>
      <c r="Z1142" s="377">
        <f t="shared" si="3431"/>
        <v>0</v>
      </c>
      <c r="AA1142" s="377">
        <f t="shared" si="3431"/>
        <v>0</v>
      </c>
      <c r="AB1142" s="377">
        <f t="shared" si="3431"/>
        <v>0</v>
      </c>
      <c r="AC1142" s="377">
        <f t="shared" si="3431"/>
        <v>0</v>
      </c>
      <c r="AD1142" s="377">
        <f t="shared" si="3431"/>
        <v>0</v>
      </c>
      <c r="AE1142" s="377">
        <f t="shared" si="3431"/>
        <v>0</v>
      </c>
      <c r="AF1142" s="377">
        <f t="shared" si="3431"/>
        <v>0</v>
      </c>
      <c r="AG1142" s="377">
        <f t="shared" si="3431"/>
        <v>0</v>
      </c>
      <c r="AH1142" s="377">
        <f t="shared" si="3431"/>
        <v>0</v>
      </c>
      <c r="AI1142" s="377">
        <f t="shared" si="3431"/>
        <v>0</v>
      </c>
      <c r="AJ1142" s="377">
        <f t="shared" si="3431"/>
        <v>0</v>
      </c>
      <c r="AK1142" s="377">
        <f t="shared" si="3431"/>
        <v>0</v>
      </c>
      <c r="AL1142" s="377">
        <f t="shared" si="3431"/>
        <v>0</v>
      </c>
      <c r="AM1142" s="624">
        <f t="shared" si="3429"/>
        <v>0</v>
      </c>
    </row>
    <row r="1143" spans="2:39">
      <c r="B1143" s="323" t="s">
        <v>359</v>
      </c>
      <c r="C1143" s="344"/>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7">
        <f t="shared" ref="Y1143:AL1143" si="3432">Y595*Y1136</f>
        <v>0</v>
      </c>
      <c r="Z1143" s="377">
        <f t="shared" si="3432"/>
        <v>0</v>
      </c>
      <c r="AA1143" s="377">
        <f t="shared" si="3432"/>
        <v>0</v>
      </c>
      <c r="AB1143" s="377">
        <f t="shared" si="3432"/>
        <v>0</v>
      </c>
      <c r="AC1143" s="377">
        <f t="shared" si="3432"/>
        <v>0</v>
      </c>
      <c r="AD1143" s="377">
        <f t="shared" si="3432"/>
        <v>0</v>
      </c>
      <c r="AE1143" s="377">
        <f t="shared" si="3432"/>
        <v>0</v>
      </c>
      <c r="AF1143" s="377">
        <f t="shared" si="3432"/>
        <v>0</v>
      </c>
      <c r="AG1143" s="377">
        <f t="shared" si="3432"/>
        <v>0</v>
      </c>
      <c r="AH1143" s="377">
        <f t="shared" si="3432"/>
        <v>0</v>
      </c>
      <c r="AI1143" s="377">
        <f t="shared" si="3432"/>
        <v>0</v>
      </c>
      <c r="AJ1143" s="377">
        <f t="shared" si="3432"/>
        <v>0</v>
      </c>
      <c r="AK1143" s="377">
        <f t="shared" si="3432"/>
        <v>0</v>
      </c>
      <c r="AL1143" s="377">
        <f t="shared" si="3432"/>
        <v>0</v>
      </c>
      <c r="AM1143" s="624">
        <f t="shared" si="3429"/>
        <v>0</v>
      </c>
    </row>
    <row r="1144" spans="2:39">
      <c r="B1144" s="323" t="s">
        <v>360</v>
      </c>
      <c r="C1144" s="344"/>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7">
        <f t="shared" ref="Y1144:AL1144" si="3433">Y784*Y1136</f>
        <v>0</v>
      </c>
      <c r="Z1144" s="377">
        <f t="shared" si="3433"/>
        <v>0</v>
      </c>
      <c r="AA1144" s="377">
        <f t="shared" si="3433"/>
        <v>0</v>
      </c>
      <c r="AB1144" s="377">
        <f t="shared" si="3433"/>
        <v>0</v>
      </c>
      <c r="AC1144" s="377">
        <f t="shared" si="3433"/>
        <v>0</v>
      </c>
      <c r="AD1144" s="377">
        <f t="shared" si="3433"/>
        <v>0</v>
      </c>
      <c r="AE1144" s="377">
        <f t="shared" si="3433"/>
        <v>0</v>
      </c>
      <c r="AF1144" s="377">
        <f t="shared" si="3433"/>
        <v>0</v>
      </c>
      <c r="AG1144" s="377">
        <f t="shared" si="3433"/>
        <v>0</v>
      </c>
      <c r="AH1144" s="377">
        <f t="shared" si="3433"/>
        <v>0</v>
      </c>
      <c r="AI1144" s="377">
        <f t="shared" si="3433"/>
        <v>0</v>
      </c>
      <c r="AJ1144" s="377">
        <f t="shared" si="3433"/>
        <v>0</v>
      </c>
      <c r="AK1144" s="377">
        <f t="shared" si="3433"/>
        <v>0</v>
      </c>
      <c r="AL1144" s="377">
        <f t="shared" si="3433"/>
        <v>0</v>
      </c>
      <c r="AM1144" s="624">
        <f t="shared" si="3429"/>
        <v>0</v>
      </c>
    </row>
    <row r="1145" spans="2:39">
      <c r="B1145" s="323" t="s">
        <v>361</v>
      </c>
      <c r="C1145" s="344"/>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7">
        <f t="shared" ref="Y1145:AL1145" si="3434">Y967*Y1136</f>
        <v>0</v>
      </c>
      <c r="Z1145" s="377">
        <f t="shared" si="3434"/>
        <v>0</v>
      </c>
      <c r="AA1145" s="377">
        <f t="shared" si="3434"/>
        <v>0</v>
      </c>
      <c r="AB1145" s="377">
        <f t="shared" si="3434"/>
        <v>0</v>
      </c>
      <c r="AC1145" s="377">
        <f t="shared" si="3434"/>
        <v>0</v>
      </c>
      <c r="AD1145" s="377">
        <f t="shared" si="3434"/>
        <v>0</v>
      </c>
      <c r="AE1145" s="377">
        <f t="shared" si="3434"/>
        <v>0</v>
      </c>
      <c r="AF1145" s="377">
        <f t="shared" si="3434"/>
        <v>0</v>
      </c>
      <c r="AG1145" s="377">
        <f t="shared" si="3434"/>
        <v>0</v>
      </c>
      <c r="AH1145" s="377">
        <f t="shared" si="3434"/>
        <v>0</v>
      </c>
      <c r="AI1145" s="377">
        <f t="shared" si="3434"/>
        <v>0</v>
      </c>
      <c r="AJ1145" s="377">
        <f t="shared" si="3434"/>
        <v>0</v>
      </c>
      <c r="AK1145" s="377">
        <f t="shared" si="3434"/>
        <v>0</v>
      </c>
      <c r="AL1145" s="377">
        <f t="shared" si="3434"/>
        <v>0</v>
      </c>
      <c r="AM1145" s="624">
        <f t="shared" si="3429"/>
        <v>0</v>
      </c>
    </row>
    <row r="1146" spans="2:39">
      <c r="B1146" s="323" t="s">
        <v>362</v>
      </c>
      <c r="C1146" s="344"/>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7">
        <f>Y1133*Y1136</f>
        <v>0</v>
      </c>
      <c r="Z1146" s="377">
        <f>Z1133*Z1136</f>
        <v>0</v>
      </c>
      <c r="AA1146" s="377">
        <f t="shared" ref="AA1146:AL1146" si="3435">AA1133*AA1136</f>
        <v>0</v>
      </c>
      <c r="AB1146" s="377">
        <f t="shared" si="3435"/>
        <v>0</v>
      </c>
      <c r="AC1146" s="377">
        <f t="shared" si="3435"/>
        <v>0</v>
      </c>
      <c r="AD1146" s="377">
        <f t="shared" si="3435"/>
        <v>0</v>
      </c>
      <c r="AE1146" s="377">
        <f t="shared" si="3435"/>
        <v>0</v>
      </c>
      <c r="AF1146" s="377">
        <f t="shared" si="3435"/>
        <v>0</v>
      </c>
      <c r="AG1146" s="377">
        <f t="shared" si="3435"/>
        <v>0</v>
      </c>
      <c r="AH1146" s="377">
        <f t="shared" si="3435"/>
        <v>0</v>
      </c>
      <c r="AI1146" s="377">
        <f t="shared" si="3435"/>
        <v>0</v>
      </c>
      <c r="AJ1146" s="377">
        <f t="shared" si="3435"/>
        <v>0</v>
      </c>
      <c r="AK1146" s="377">
        <f t="shared" si="3435"/>
        <v>0</v>
      </c>
      <c r="AL1146" s="377">
        <f t="shared" si="3435"/>
        <v>0</v>
      </c>
      <c r="AM1146" s="624">
        <f t="shared" si="3429"/>
        <v>0</v>
      </c>
    </row>
    <row r="1147" spans="2:39" ht="15.75">
      <c r="B1147" s="348" t="s">
        <v>352</v>
      </c>
      <c r="C1147" s="344"/>
      <c r="D1147" s="335"/>
      <c r="E1147" s="333"/>
      <c r="F1147" s="333"/>
      <c r="G1147" s="333"/>
      <c r="H1147" s="333"/>
      <c r="I1147" s="333"/>
      <c r="J1147" s="333"/>
      <c r="K1147" s="333"/>
      <c r="L1147" s="333"/>
      <c r="M1147" s="333"/>
      <c r="N1147" s="333"/>
      <c r="O1147" s="300"/>
      <c r="P1147" s="333"/>
      <c r="Q1147" s="333"/>
      <c r="R1147" s="333"/>
      <c r="S1147" s="335"/>
      <c r="T1147" s="335"/>
      <c r="U1147" s="335"/>
      <c r="V1147" s="335"/>
      <c r="W1147" s="333"/>
      <c r="X1147" s="333"/>
      <c r="Y1147" s="345">
        <f>SUM(Y1137:Y1146)</f>
        <v>0</v>
      </c>
      <c r="Z1147" s="345">
        <f t="shared" ref="Z1147:AE1147" si="3436">SUM(Z1137:Z1146)</f>
        <v>0</v>
      </c>
      <c r="AA1147" s="345">
        <f t="shared" si="3436"/>
        <v>0</v>
      </c>
      <c r="AB1147" s="345">
        <f t="shared" si="3436"/>
        <v>0</v>
      </c>
      <c r="AC1147" s="345">
        <f t="shared" si="3436"/>
        <v>0</v>
      </c>
      <c r="AD1147" s="345">
        <f t="shared" si="3436"/>
        <v>0</v>
      </c>
      <c r="AE1147" s="345">
        <f t="shared" si="3436"/>
        <v>0</v>
      </c>
      <c r="AF1147" s="345">
        <f>SUM(AF1137:AF1146)</f>
        <v>0</v>
      </c>
      <c r="AG1147" s="345">
        <f t="shared" ref="AG1147:AL1147" si="3437">SUM(AG1137:AG1146)</f>
        <v>0</v>
      </c>
      <c r="AH1147" s="345">
        <f t="shared" si="3437"/>
        <v>0</v>
      </c>
      <c r="AI1147" s="345">
        <f t="shared" si="3437"/>
        <v>0</v>
      </c>
      <c r="AJ1147" s="345">
        <f t="shared" si="3437"/>
        <v>0</v>
      </c>
      <c r="AK1147" s="345">
        <f t="shared" si="3437"/>
        <v>0</v>
      </c>
      <c r="AL1147" s="345">
        <f t="shared" si="3437"/>
        <v>0</v>
      </c>
      <c r="AM1147" s="406">
        <f>SUM(AM1137:AM1146)</f>
        <v>0</v>
      </c>
    </row>
    <row r="1148" spans="2:39" ht="15.75">
      <c r="B1148" s="348" t="s">
        <v>351</v>
      </c>
      <c r="C1148" s="344"/>
      <c r="D1148" s="349"/>
      <c r="E1148" s="333"/>
      <c r="F1148" s="333"/>
      <c r="G1148" s="333"/>
      <c r="H1148" s="333"/>
      <c r="I1148" s="333"/>
      <c r="J1148" s="333"/>
      <c r="K1148" s="333"/>
      <c r="L1148" s="333"/>
      <c r="M1148" s="333"/>
      <c r="N1148" s="333"/>
      <c r="O1148" s="300"/>
      <c r="P1148" s="333"/>
      <c r="Q1148" s="333"/>
      <c r="R1148" s="333"/>
      <c r="S1148" s="335"/>
      <c r="T1148" s="335"/>
      <c r="U1148" s="335"/>
      <c r="V1148" s="335"/>
      <c r="W1148" s="333"/>
      <c r="X1148" s="333"/>
      <c r="Y1148" s="346">
        <f>Y1134*Y1136</f>
        <v>0</v>
      </c>
      <c r="Z1148" s="346">
        <f t="shared" ref="Z1148:AE1148" si="3438">Z1134*Z1136</f>
        <v>0</v>
      </c>
      <c r="AA1148" s="346">
        <f>AA1134*AA1136</f>
        <v>0</v>
      </c>
      <c r="AB1148" s="346">
        <f t="shared" si="3438"/>
        <v>0</v>
      </c>
      <c r="AC1148" s="346">
        <f t="shared" si="3438"/>
        <v>0</v>
      </c>
      <c r="AD1148" s="346">
        <f t="shared" si="3438"/>
        <v>0</v>
      </c>
      <c r="AE1148" s="346">
        <f t="shared" si="3438"/>
        <v>0</v>
      </c>
      <c r="AF1148" s="346">
        <f t="shared" ref="AF1148:AL1148" si="3439">AF1134*AF1136</f>
        <v>0</v>
      </c>
      <c r="AG1148" s="346">
        <f t="shared" si="3439"/>
        <v>0</v>
      </c>
      <c r="AH1148" s="346">
        <f t="shared" si="3439"/>
        <v>0</v>
      </c>
      <c r="AI1148" s="346">
        <f t="shared" si="3439"/>
        <v>0</v>
      </c>
      <c r="AJ1148" s="346">
        <f t="shared" si="3439"/>
        <v>0</v>
      </c>
      <c r="AK1148" s="346">
        <f t="shared" si="3439"/>
        <v>0</v>
      </c>
      <c r="AL1148" s="346">
        <f t="shared" si="3439"/>
        <v>0</v>
      </c>
      <c r="AM1148" s="406">
        <f>SUM(Y1148:AL1148)</f>
        <v>0</v>
      </c>
    </row>
    <row r="1149" spans="2:39" ht="15.75">
      <c r="B1149" s="348" t="s">
        <v>350</v>
      </c>
      <c r="C1149" s="344"/>
      <c r="D1149" s="349"/>
      <c r="E1149" s="333"/>
      <c r="F1149" s="333"/>
      <c r="G1149" s="333"/>
      <c r="H1149" s="333"/>
      <c r="I1149" s="333"/>
      <c r="J1149" s="333"/>
      <c r="K1149" s="333"/>
      <c r="L1149" s="333"/>
      <c r="M1149" s="333"/>
      <c r="N1149" s="333"/>
      <c r="O1149" s="300"/>
      <c r="P1149" s="333"/>
      <c r="Q1149" s="333"/>
      <c r="R1149" s="333"/>
      <c r="S1149" s="349"/>
      <c r="T1149" s="349"/>
      <c r="U1149" s="349"/>
      <c r="V1149" s="349"/>
      <c r="W1149" s="333"/>
      <c r="X1149" s="333"/>
      <c r="Y1149" s="350"/>
      <c r="Z1149" s="350"/>
      <c r="AA1149" s="350"/>
      <c r="AB1149" s="350"/>
      <c r="AC1149" s="350"/>
      <c r="AD1149" s="350"/>
      <c r="AE1149" s="350"/>
      <c r="AF1149" s="350"/>
      <c r="AG1149" s="350"/>
      <c r="AH1149" s="350"/>
      <c r="AI1149" s="350"/>
      <c r="AJ1149" s="350"/>
      <c r="AK1149" s="350"/>
      <c r="AL1149" s="350"/>
      <c r="AM1149" s="406">
        <f>AM1147-AM1148</f>
        <v>0</v>
      </c>
    </row>
    <row r="1150" spans="2:39">
      <c r="B1150" s="380"/>
      <c r="C1150" s="442"/>
      <c r="D1150" s="442"/>
      <c r="E1150" s="443"/>
      <c r="F1150" s="443"/>
      <c r="G1150" s="443"/>
      <c r="H1150" s="443"/>
      <c r="I1150" s="443"/>
      <c r="J1150" s="443"/>
      <c r="K1150" s="443"/>
      <c r="L1150" s="443"/>
      <c r="M1150" s="443"/>
      <c r="N1150" s="443"/>
      <c r="O1150" s="444"/>
      <c r="P1150" s="443"/>
      <c r="Q1150" s="443"/>
      <c r="R1150" s="443"/>
      <c r="S1150" s="442"/>
      <c r="T1150" s="445"/>
      <c r="U1150" s="442"/>
      <c r="V1150" s="442"/>
      <c r="W1150" s="443"/>
      <c r="X1150" s="443"/>
      <c r="Y1150" s="446"/>
      <c r="Z1150" s="446"/>
      <c r="AA1150" s="446"/>
      <c r="AB1150" s="446"/>
      <c r="AC1150" s="446"/>
      <c r="AD1150" s="446"/>
      <c r="AE1150" s="446"/>
      <c r="AF1150" s="446"/>
      <c r="AG1150" s="446"/>
      <c r="AH1150" s="446"/>
      <c r="AI1150" s="446"/>
      <c r="AJ1150" s="446"/>
      <c r="AK1150" s="446"/>
      <c r="AL1150" s="446"/>
      <c r="AM1150" s="385"/>
    </row>
    <row r="1151" spans="2:39" ht="19.5" customHeight="1">
      <c r="B1151" s="367" t="s">
        <v>582</v>
      </c>
      <c r="C1151" s="386"/>
      <c r="D1151" s="387"/>
      <c r="E1151" s="387"/>
      <c r="F1151" s="387"/>
      <c r="G1151" s="387"/>
      <c r="H1151" s="387"/>
      <c r="I1151" s="387"/>
      <c r="J1151" s="387"/>
      <c r="K1151" s="387"/>
      <c r="L1151" s="387"/>
      <c r="M1151" s="387"/>
      <c r="N1151" s="387"/>
      <c r="O1151" s="387"/>
      <c r="P1151" s="387"/>
      <c r="Q1151" s="387"/>
      <c r="R1151" s="387"/>
      <c r="S1151" s="370"/>
      <c r="T1151" s="371"/>
      <c r="U1151" s="387"/>
      <c r="V1151" s="387"/>
      <c r="W1151" s="387"/>
      <c r="X1151" s="387"/>
      <c r="Y1151" s="408"/>
      <c r="Z1151" s="408"/>
      <c r="AA1151" s="408"/>
      <c r="AB1151" s="408"/>
      <c r="AC1151" s="408"/>
      <c r="AD1151" s="408"/>
      <c r="AE1151" s="408"/>
      <c r="AF1151" s="408"/>
      <c r="AG1151" s="408"/>
      <c r="AH1151" s="408"/>
      <c r="AI1151" s="408"/>
      <c r="AJ1151" s="408"/>
      <c r="AK1151" s="408"/>
      <c r="AL1151" s="408"/>
      <c r="AM1151" s="388"/>
    </row>
    <row r="1153" spans="2:2">
      <c r="B1153" s="585" t="s">
        <v>526</v>
      </c>
    </row>
  </sheetData>
  <sheetProtection formatCells="0" formatColumns="0" formatRows="0" insertColumns="0" insertRows="0" insertHyperlinks="0" deleteColumns="0" deleteRows="0" sort="0" autoFilter="0" pivotTables="0"/>
  <mergeCells count="43">
    <mergeCell ref="Y972:AM972"/>
    <mergeCell ref="P600:X600"/>
    <mergeCell ref="B789:B790"/>
    <mergeCell ref="C789:C790"/>
    <mergeCell ref="E789:M789"/>
    <mergeCell ref="N789:N790"/>
    <mergeCell ref="P789:X789"/>
    <mergeCell ref="Y789:AM789"/>
    <mergeCell ref="P972:X972"/>
    <mergeCell ref="N972:N973"/>
    <mergeCell ref="B972:B973"/>
    <mergeCell ref="C972:C973"/>
    <mergeCell ref="E972:M972"/>
    <mergeCell ref="C403:C404"/>
    <mergeCell ref="E403:M403"/>
    <mergeCell ref="N403:N404"/>
    <mergeCell ref="B600:B601"/>
    <mergeCell ref="C600:C601"/>
    <mergeCell ref="E600:M600"/>
    <mergeCell ref="N600:N601"/>
    <mergeCell ref="B403:B404"/>
    <mergeCell ref="B217:B218"/>
    <mergeCell ref="C217:C218"/>
    <mergeCell ref="E217:M217"/>
    <mergeCell ref="N217:N218"/>
    <mergeCell ref="P217:X217"/>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99"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2" location="'5.  2015-2020 LRAM'!A1" display="Return to top" xr:uid="{00000000-0004-0000-0A00-000008000000}"/>
    <hyperlink ref="D788" location="'5.  2015-2020 LRAM'!A1" display="Return to top" xr:uid="{00000000-0004-0000-0A00-000009000000}"/>
    <hyperlink ref="D971" location="'5.  2015-2020 LRAM'!A1" display="Return to top" xr:uid="{00000000-0004-0000-0A00-00000A000000}"/>
    <hyperlink ref="B1153" location="'5.  2015-2020 LRAM'!A1" display="Return to top" xr:uid="{00000000-0004-0000-0A00-00000B000000}"/>
  </hyperlinks>
  <pageMargins left="0.3" right="0.24" top="0.36" bottom="0.41" header="0.31496062992126" footer="0.2"/>
  <pageSetup paperSize="5" scale="41" fitToHeight="0" orientation="landscape" r:id="rId1"/>
  <headerFooter>
    <oddFooter>&amp;R&amp;P of &amp;N</oddFooter>
  </headerFooter>
  <ignoredErrors>
    <ignoredError sqref="D493:M493 D494:G494 D496:G496 D474:M475 D477:M478 D480:M481 D483:M483 D486:M486"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pageSetUpPr fitToPage="1"/>
  </sheetPr>
  <dimension ref="A1:AB238"/>
  <sheetViews>
    <sheetView zoomScale="90" zoomScaleNormal="90" workbookViewId="0">
      <selection sqref="A1:XFD1048576"/>
    </sheetView>
  </sheetViews>
  <sheetFormatPr defaultColWidth="9" defaultRowHeight="15"/>
  <cols>
    <col min="1" max="1" width="4.5703125" style="12" customWidth="1"/>
    <col min="2" max="2" width="15.140625" style="11" customWidth="1"/>
    <col min="3" max="3" width="25.140625" style="12" customWidth="1"/>
    <col min="4" max="4" width="5" style="12" customWidth="1"/>
    <col min="5" max="5" width="14.28515625" style="12" customWidth="1"/>
    <col min="6" max="6" width="15" style="12" customWidth="1"/>
    <col min="7" max="7" width="11.42578125" style="12" customWidth="1"/>
    <col min="8" max="8" width="13" style="18" customWidth="1"/>
    <col min="9" max="9" width="14.28515625" style="12" customWidth="1"/>
    <col min="10" max="10" width="14" style="12" customWidth="1"/>
    <col min="11" max="11" width="18" style="12" customWidth="1"/>
    <col min="12" max="12" width="19" style="12" customWidth="1"/>
    <col min="13" max="13" width="17" style="12" hidden="1" customWidth="1"/>
    <col min="14" max="14" width="16" style="12" hidden="1" customWidth="1"/>
    <col min="15" max="16" width="14.5703125" style="12" hidden="1" customWidth="1"/>
    <col min="17" max="17" width="14" style="12" hidden="1" customWidth="1"/>
    <col min="18" max="18" width="15.5703125" style="12" hidden="1" customWidth="1"/>
    <col min="19" max="19" width="14" style="12" hidden="1" customWidth="1"/>
    <col min="20" max="22" width="15" style="12" hidden="1" customWidth="1"/>
    <col min="23" max="23" width="13.42578125" style="12" customWidth="1"/>
    <col min="24" max="24" width="4" style="12" customWidth="1"/>
    <col min="25" max="16384" width="9" style="12"/>
  </cols>
  <sheetData>
    <row r="1" spans="1:28" ht="153" customHeight="1" thickBot="1">
      <c r="E1" s="1"/>
      <c r="G1" s="1"/>
      <c r="I1" s="1"/>
      <c r="J1" s="1"/>
      <c r="K1" s="1"/>
      <c r="L1" s="1"/>
      <c r="M1" s="1"/>
      <c r="N1" s="1"/>
      <c r="O1" s="1"/>
      <c r="W1" s="1"/>
      <c r="X1" s="1"/>
      <c r="Y1" s="1"/>
      <c r="Z1" s="1"/>
      <c r="AA1" s="1"/>
    </row>
    <row r="2" spans="1:28" hidden="1"/>
    <row r="3" spans="1:28" ht="14.25" hidden="1"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5"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211" t="s">
        <v>659</v>
      </c>
      <c r="D8" s="1211"/>
      <c r="E8" s="1211"/>
      <c r="F8" s="1211"/>
      <c r="G8" s="1211"/>
      <c r="H8" s="1211"/>
      <c r="I8" s="1211"/>
      <c r="J8" s="1211"/>
      <c r="K8" s="1211"/>
      <c r="L8" s="1211"/>
      <c r="M8" s="1211"/>
      <c r="N8" s="1211"/>
      <c r="O8" s="1211"/>
      <c r="P8" s="1211"/>
      <c r="Q8" s="1211"/>
      <c r="R8" s="1211"/>
      <c r="S8" s="1211"/>
      <c r="T8" s="105"/>
      <c r="U8" s="105"/>
      <c r="V8" s="105"/>
      <c r="W8" s="105"/>
    </row>
    <row r="9" spans="1:28" s="9" customFormat="1" ht="47.1" customHeight="1">
      <c r="B9" s="55"/>
      <c r="C9" s="1166" t="s">
        <v>670</v>
      </c>
      <c r="D9" s="1166"/>
      <c r="E9" s="1166"/>
      <c r="F9" s="1166"/>
      <c r="G9" s="1166"/>
      <c r="H9" s="1166"/>
      <c r="I9" s="1166"/>
      <c r="J9" s="1166"/>
      <c r="K9" s="1166"/>
      <c r="L9" s="1166"/>
      <c r="M9" s="1166"/>
      <c r="N9" s="1166"/>
      <c r="O9" s="1166"/>
      <c r="P9" s="1166"/>
      <c r="Q9" s="1166"/>
      <c r="R9" s="1166"/>
      <c r="S9" s="1166"/>
      <c r="T9" s="105"/>
      <c r="U9" s="105"/>
      <c r="V9" s="105"/>
      <c r="W9" s="105"/>
    </row>
    <row r="10" spans="1:28" s="9" customFormat="1" ht="38.1" customHeight="1">
      <c r="B10" s="88"/>
      <c r="C10" s="1191" t="s">
        <v>671</v>
      </c>
      <c r="D10" s="1166"/>
      <c r="E10" s="1166"/>
      <c r="F10" s="1166"/>
      <c r="G10" s="1166"/>
      <c r="H10" s="1166"/>
      <c r="I10" s="1166"/>
      <c r="J10" s="1166"/>
      <c r="K10" s="1166"/>
      <c r="L10" s="1166"/>
      <c r="M10" s="1166"/>
      <c r="N10" s="1166"/>
      <c r="O10" s="1166"/>
      <c r="P10" s="1166"/>
      <c r="Q10" s="1166"/>
      <c r="R10" s="1166"/>
      <c r="S10" s="116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210" t="s">
        <v>235</v>
      </c>
      <c r="C12" s="1210"/>
      <c r="D12" s="181"/>
      <c r="E12" s="182" t="s">
        <v>236</v>
      </c>
      <c r="F12" s="51"/>
      <c r="G12" s="51"/>
      <c r="H12" s="44"/>
      <c r="I12" s="51"/>
      <c r="K12" s="587"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 50 kW</v>
      </c>
      <c r="L14" s="204" t="str">
        <f>'1.  LRAMVA Summary'!G52</f>
        <v>Streetlighting kW</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4">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692</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693</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694</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695</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720</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721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722</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20.162204750459189</v>
      </c>
      <c r="J106" s="230">
        <f>(SUM('1.  LRAMVA Summary'!E$54:E$71)+SUM('1.  LRAMVA Summary'!E$72:E$73)*(MONTH($E106)-1)/12)*$H106</f>
        <v>7.1885823100554749</v>
      </c>
      <c r="K106" s="230">
        <f>(SUM('1.  LRAMVA Summary'!F$54:F$71)+SUM('1.  LRAMVA Summary'!F$72:F$73)*(MONTH($E106)-1)/12)*$H106</f>
        <v>31.497028677547444</v>
      </c>
      <c r="L106" s="230">
        <f>(SUM('1.  LRAMVA Summary'!G$54:G$71)+SUM('1.  LRAMVA Summary'!G$72:G$73)*(MONTH($E106)-1)/12)*$H106</f>
        <v>2.3842405651515683</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61.232056303213682</v>
      </c>
    </row>
    <row r="107" spans="2:23" s="9" customFormat="1">
      <c r="B107" s="66"/>
      <c r="E107" s="214">
        <v>42795</v>
      </c>
      <c r="F107" s="214" t="s">
        <v>184</v>
      </c>
      <c r="G107" s="215" t="s">
        <v>65</v>
      </c>
      <c r="H107" s="240">
        <f t="shared" si="48"/>
        <v>9.1666666666666665E-4</v>
      </c>
      <c r="I107" s="230">
        <f>(SUM('1.  LRAMVA Summary'!D$54:D$71)+SUM('1.  LRAMVA Summary'!D$72:D$73)*(MONTH($E107)-1)/12)*$H107</f>
        <v>40.324409500918378</v>
      </c>
      <c r="J107" s="230">
        <f>(SUM('1.  LRAMVA Summary'!E$54:E$71)+SUM('1.  LRAMVA Summary'!E$72:E$73)*(MONTH($E107)-1)/12)*$H107</f>
        <v>14.37716462011095</v>
      </c>
      <c r="K107" s="230">
        <f>(SUM('1.  LRAMVA Summary'!F$54:F$71)+SUM('1.  LRAMVA Summary'!F$72:F$73)*(MONTH($E107)-1)/12)*$H107</f>
        <v>62.994057355094888</v>
      </c>
      <c r="L107" s="230">
        <f>(SUM('1.  LRAMVA Summary'!G$54:G$71)+SUM('1.  LRAMVA Summary'!G$72:G$73)*(MONTH($E107)-1)/12)*$H107</f>
        <v>4.7684811303031367</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122.46411260642736</v>
      </c>
    </row>
    <row r="108" spans="2:23" s="8" customFormat="1">
      <c r="B108" s="239"/>
      <c r="E108" s="214">
        <v>42826</v>
      </c>
      <c r="F108" s="214" t="s">
        <v>184</v>
      </c>
      <c r="G108" s="215" t="s">
        <v>66</v>
      </c>
      <c r="H108" s="240">
        <f>$C$40/12</f>
        <v>9.1666666666666665E-4</v>
      </c>
      <c r="I108" s="230">
        <f>(SUM('1.  LRAMVA Summary'!D$54:D$71)+SUM('1.  LRAMVA Summary'!D$72:D$73)*(MONTH($E108)-1)/12)*$H108</f>
        <v>60.48661425137756</v>
      </c>
      <c r="J108" s="230">
        <f>(SUM('1.  LRAMVA Summary'!E$54:E$71)+SUM('1.  LRAMVA Summary'!E$72:E$73)*(MONTH($E108)-1)/12)*$H108</f>
        <v>21.565746930166426</v>
      </c>
      <c r="K108" s="230">
        <f>(SUM('1.  LRAMVA Summary'!F$54:F$71)+SUM('1.  LRAMVA Summary'!F$72:F$73)*(MONTH($E108)-1)/12)*$H108</f>
        <v>94.491086032642329</v>
      </c>
      <c r="L108" s="230">
        <f>(SUM('1.  LRAMVA Summary'!G$54:G$71)+SUM('1.  LRAMVA Summary'!G$72:G$73)*(MONTH($E108)-1)/12)*$H108</f>
        <v>7.1527216954547059</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183.69616890964102</v>
      </c>
    </row>
    <row r="109" spans="2:23" s="9" customFormat="1">
      <c r="B109" s="66"/>
      <c r="E109" s="214">
        <v>42856</v>
      </c>
      <c r="F109" s="214" t="s">
        <v>184</v>
      </c>
      <c r="G109" s="215" t="s">
        <v>66</v>
      </c>
      <c r="H109" s="240">
        <f t="shared" ref="H109:H110" si="50">$C$40/12</f>
        <v>9.1666666666666665E-4</v>
      </c>
      <c r="I109" s="230">
        <f>(SUM('1.  LRAMVA Summary'!D$54:D$71)+SUM('1.  LRAMVA Summary'!D$72:D$73)*(MONTH($E109)-1)/12)*$H109</f>
        <v>80.648819001836756</v>
      </c>
      <c r="J109" s="230">
        <f>(SUM('1.  LRAMVA Summary'!E$54:E$71)+SUM('1.  LRAMVA Summary'!E$72:E$73)*(MONTH($E109)-1)/12)*$H109</f>
        <v>28.7543292402219</v>
      </c>
      <c r="K109" s="230">
        <f>(SUM('1.  LRAMVA Summary'!F$54:F$71)+SUM('1.  LRAMVA Summary'!F$72:F$73)*(MONTH($E109)-1)/12)*$H109</f>
        <v>125.98811471018978</v>
      </c>
      <c r="L109" s="230">
        <f>(SUM('1.  LRAMVA Summary'!G$54:G$71)+SUM('1.  LRAMVA Summary'!G$72:G$73)*(MONTH($E109)-1)/12)*$H109</f>
        <v>9.5369622606062734</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244.92822521285473</v>
      </c>
    </row>
    <row r="110" spans="2:23" s="238" customFormat="1">
      <c r="B110" s="237"/>
      <c r="E110" s="214">
        <v>42887</v>
      </c>
      <c r="F110" s="214" t="s">
        <v>184</v>
      </c>
      <c r="G110" s="215" t="s">
        <v>66</v>
      </c>
      <c r="H110" s="240">
        <f t="shared" si="50"/>
        <v>9.1666666666666665E-4</v>
      </c>
      <c r="I110" s="230">
        <f>(SUM('1.  LRAMVA Summary'!D$54:D$71)+SUM('1.  LRAMVA Summary'!D$72:D$73)*(MONTH($E110)-1)/12)*$H110</f>
        <v>100.81102375229592</v>
      </c>
      <c r="J110" s="230">
        <f>(SUM('1.  LRAMVA Summary'!E$54:E$71)+SUM('1.  LRAMVA Summary'!E$72:E$73)*(MONTH($E110)-1)/12)*$H110</f>
        <v>35.94291155027738</v>
      </c>
      <c r="K110" s="230">
        <f>(SUM('1.  LRAMVA Summary'!F$54:F$71)+SUM('1.  LRAMVA Summary'!F$72:F$73)*(MONTH($E110)-1)/12)*$H110</f>
        <v>157.48514338773722</v>
      </c>
      <c r="L110" s="230">
        <f>(SUM('1.  LRAMVA Summary'!G$54:G$71)+SUM('1.  LRAMVA Summary'!G$72:G$73)*(MONTH($E110)-1)/12)*$H110</f>
        <v>11.92120282575784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306.16028151606838</v>
      </c>
    </row>
    <row r="111" spans="2:23" s="9" customFormat="1">
      <c r="B111" s="66"/>
      <c r="E111" s="214">
        <v>42917</v>
      </c>
      <c r="F111" s="214" t="s">
        <v>184</v>
      </c>
      <c r="G111" s="215" t="s">
        <v>68</v>
      </c>
      <c r="H111" s="240">
        <f>$C$41/12</f>
        <v>9.1666666666666665E-4</v>
      </c>
      <c r="I111" s="230">
        <f>(SUM('1.  LRAMVA Summary'!D$54:D$71)+SUM('1.  LRAMVA Summary'!D$72:D$73)*(MONTH($E111)-1)/12)*$H111</f>
        <v>120.97322850275512</v>
      </c>
      <c r="J111" s="230">
        <f>(SUM('1.  LRAMVA Summary'!E$54:E$71)+SUM('1.  LRAMVA Summary'!E$72:E$73)*(MONTH($E111)-1)/12)*$H111</f>
        <v>43.131493860332853</v>
      </c>
      <c r="K111" s="230">
        <f>(SUM('1.  LRAMVA Summary'!F$54:F$71)+SUM('1.  LRAMVA Summary'!F$72:F$73)*(MONTH($E111)-1)/12)*$H111</f>
        <v>188.98217206528466</v>
      </c>
      <c r="L111" s="230">
        <f>(SUM('1.  LRAMVA Summary'!G$54:G$71)+SUM('1.  LRAMVA Summary'!G$72:G$73)*(MONTH($E111)-1)/12)*$H111</f>
        <v>14.305443390909412</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367.39233781928203</v>
      </c>
    </row>
    <row r="112" spans="2:23" s="9" customFormat="1">
      <c r="B112" s="66"/>
      <c r="E112" s="214">
        <v>42948</v>
      </c>
      <c r="F112" s="214" t="s">
        <v>184</v>
      </c>
      <c r="G112" s="215" t="s">
        <v>68</v>
      </c>
      <c r="H112" s="240">
        <f t="shared" ref="H112:H113" si="51">$C$41/12</f>
        <v>9.1666666666666665E-4</v>
      </c>
      <c r="I112" s="230">
        <f>(SUM('1.  LRAMVA Summary'!D$54:D$71)+SUM('1.  LRAMVA Summary'!D$72:D$73)*(MONTH($E112)-1)/12)*$H112</f>
        <v>141.1354332532143</v>
      </c>
      <c r="J112" s="230">
        <f>(SUM('1.  LRAMVA Summary'!E$54:E$71)+SUM('1.  LRAMVA Summary'!E$72:E$73)*(MONTH($E112)-1)/12)*$H112</f>
        <v>50.320076170388326</v>
      </c>
      <c r="K112" s="230">
        <f>(SUM('1.  LRAMVA Summary'!F$54:F$71)+SUM('1.  LRAMVA Summary'!F$72:F$73)*(MONTH($E112)-1)/12)*$H112</f>
        <v>220.47920074283212</v>
      </c>
      <c r="L112" s="230">
        <f>(SUM('1.  LRAMVA Summary'!G$54:G$71)+SUM('1.  LRAMVA Summary'!G$72:G$73)*(MONTH($E112)-1)/12)*$H112</f>
        <v>16.689683956060978</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428.62439412249574</v>
      </c>
    </row>
    <row r="113" spans="2:23" s="9" customFormat="1">
      <c r="B113" s="66"/>
      <c r="E113" s="214">
        <v>42979</v>
      </c>
      <c r="F113" s="214" t="s">
        <v>184</v>
      </c>
      <c r="G113" s="215" t="s">
        <v>68</v>
      </c>
      <c r="H113" s="240">
        <f t="shared" si="51"/>
        <v>9.1666666666666665E-4</v>
      </c>
      <c r="I113" s="230">
        <f>(SUM('1.  LRAMVA Summary'!D$54:D$71)+SUM('1.  LRAMVA Summary'!D$72:D$73)*(MONTH($E113)-1)/12)*$H113</f>
        <v>161.29763800367351</v>
      </c>
      <c r="J113" s="230">
        <f>(SUM('1.  LRAMVA Summary'!E$54:E$71)+SUM('1.  LRAMVA Summary'!E$72:E$73)*(MONTH($E113)-1)/12)*$H113</f>
        <v>57.508658480443799</v>
      </c>
      <c r="K113" s="230">
        <f>(SUM('1.  LRAMVA Summary'!F$54:F$71)+SUM('1.  LRAMVA Summary'!F$72:F$73)*(MONTH($E113)-1)/12)*$H113</f>
        <v>251.97622942037955</v>
      </c>
      <c r="L113" s="230">
        <f>(SUM('1.  LRAMVA Summary'!G$54:G$71)+SUM('1.  LRAMVA Summary'!G$72:G$73)*(MONTH($E113)-1)/12)*$H113</f>
        <v>19.073924521212547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489.85645042570945</v>
      </c>
    </row>
    <row r="114" spans="2:23" s="9" customFormat="1">
      <c r="B114" s="66"/>
      <c r="E114" s="214">
        <v>43009</v>
      </c>
      <c r="F114" s="214" t="s">
        <v>184</v>
      </c>
      <c r="G114" s="215" t="s">
        <v>69</v>
      </c>
      <c r="H114" s="240">
        <f>$C$42/12</f>
        <v>1.25E-3</v>
      </c>
      <c r="I114" s="230">
        <f>(SUM('1.  LRAMVA Summary'!D$54:D$71)+SUM('1.  LRAMVA Summary'!D$72:D$73)*(MONTH($E114)-1)/12)*$H114</f>
        <v>247.4452401192718</v>
      </c>
      <c r="J114" s="230">
        <f>(SUM('1.  LRAMVA Summary'!E$54:E$71)+SUM('1.  LRAMVA Summary'!E$72:E$73)*(MONTH($E114)-1)/12)*$H114</f>
        <v>88.223510168862646</v>
      </c>
      <c r="K114" s="230">
        <f>(SUM('1.  LRAMVA Summary'!F$54:F$71)+SUM('1.  LRAMVA Summary'!F$72:F$73)*(MONTH($E114)-1)/12)*$H114</f>
        <v>386.55444286080956</v>
      </c>
      <c r="L114" s="230">
        <f>(SUM('1.  LRAMVA Summary'!G$54:G$71)+SUM('1.  LRAMVA Summary'!G$72:G$73)*(MONTH($E114)-1)/12)*$H114</f>
        <v>29.261134208678342</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751.48432735762231</v>
      </c>
    </row>
    <row r="115" spans="2:23" s="9" customFormat="1">
      <c r="B115" s="66"/>
      <c r="E115" s="214">
        <v>43040</v>
      </c>
      <c r="F115" s="214" t="s">
        <v>184</v>
      </c>
      <c r="G115" s="215" t="s">
        <v>69</v>
      </c>
      <c r="H115" s="240">
        <f t="shared" ref="H115:H116" si="52">$C$42/12</f>
        <v>1.25E-3</v>
      </c>
      <c r="I115" s="230">
        <f>(SUM('1.  LRAMVA Summary'!D$54:D$71)+SUM('1.  LRAMVA Summary'!D$72:D$73)*(MONTH($E115)-1)/12)*$H115</f>
        <v>274.93915568807984</v>
      </c>
      <c r="J115" s="230">
        <f>(SUM('1.  LRAMVA Summary'!E$54:E$71)+SUM('1.  LRAMVA Summary'!E$72:E$73)*(MONTH($E115)-1)/12)*$H115</f>
        <v>98.026122409847403</v>
      </c>
      <c r="K115" s="230">
        <f>(SUM('1.  LRAMVA Summary'!F$54:F$71)+SUM('1.  LRAMVA Summary'!F$72:F$73)*(MONTH($E115)-1)/12)*$H115</f>
        <v>429.5049365120106</v>
      </c>
      <c r="L115" s="230">
        <f>(SUM('1.  LRAMVA Summary'!G$54:G$71)+SUM('1.  LRAMVA Summary'!G$72:G$73)*(MONTH($E115)-1)/12)*$H115</f>
        <v>32.512371342975932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834.98258595291372</v>
      </c>
    </row>
    <row r="116" spans="2:23" s="9" customFormat="1">
      <c r="B116" s="66"/>
      <c r="E116" s="214">
        <v>43070</v>
      </c>
      <c r="F116" s="214" t="s">
        <v>184</v>
      </c>
      <c r="G116" s="215" t="s">
        <v>69</v>
      </c>
      <c r="H116" s="240">
        <f t="shared" si="52"/>
        <v>1.25E-3</v>
      </c>
      <c r="I116" s="230">
        <f>(SUM('1.  LRAMVA Summary'!D$54:D$71)+SUM('1.  LRAMVA Summary'!D$72:D$73)*(MONTH($E116)-1)/12)*$H116</f>
        <v>302.43307125688784</v>
      </c>
      <c r="J116" s="230">
        <f>(SUM('1.  LRAMVA Summary'!E$54:E$71)+SUM('1.  LRAMVA Summary'!E$72:E$73)*(MONTH($E116)-1)/12)*$H116</f>
        <v>107.82873465083212</v>
      </c>
      <c r="K116" s="230">
        <f>(SUM('1.  LRAMVA Summary'!F$54:F$71)+SUM('1.  LRAMVA Summary'!F$72:F$73)*(MONTH($E116)-1)/12)*$H116</f>
        <v>472.4554301632117</v>
      </c>
      <c r="L116" s="230">
        <f>(SUM('1.  LRAMVA Summary'!G$54:G$71)+SUM('1.  LRAMVA Summary'!G$72:G$73)*(MONTH($E116)-1)/12)*$H116</f>
        <v>35.763608477273522</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918.48084454820514</v>
      </c>
    </row>
    <row r="117" spans="2:23" s="9" customFormat="1" ht="15.75" thickBot="1">
      <c r="B117" s="66"/>
      <c r="E117" s="216" t="s">
        <v>467</v>
      </c>
      <c r="F117" s="216"/>
      <c r="G117" s="217"/>
      <c r="H117" s="218"/>
      <c r="I117" s="219">
        <f>SUM(I104:I116)</f>
        <v>1550.6568380807703</v>
      </c>
      <c r="J117" s="219">
        <f>SUM(J104:J116)</f>
        <v>552.86733039153921</v>
      </c>
      <c r="K117" s="219">
        <f t="shared" ref="K117:O117" si="53">SUM(K104:K116)</f>
        <v>2422.4078419277398</v>
      </c>
      <c r="L117" s="219">
        <f t="shared" si="53"/>
        <v>183.36977437438426</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4709.3017847744331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1550.6568380807703</v>
      </c>
      <c r="J119" s="228">
        <f t="shared" ref="J119" si="55">J117+J118</f>
        <v>552.86733039153921</v>
      </c>
      <c r="K119" s="228">
        <f t="shared" ref="K119" si="56">K117+K118</f>
        <v>2422.4078419277398</v>
      </c>
      <c r="L119" s="228">
        <f t="shared" ref="L119" si="57">L117+L118</f>
        <v>183.36977437438426</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4709.3017847744331</v>
      </c>
    </row>
    <row r="120" spans="2:23" s="9" customFormat="1">
      <c r="B120" s="66"/>
      <c r="E120" s="214">
        <v>43101</v>
      </c>
      <c r="F120" s="214" t="s">
        <v>185</v>
      </c>
      <c r="G120" s="215" t="s">
        <v>65</v>
      </c>
      <c r="H120" s="240">
        <f>$C$43/12</f>
        <v>1.25E-3</v>
      </c>
      <c r="I120" s="230">
        <f>(SUM('1.  LRAMVA Summary'!D$54:D$74)+SUM('1.  LRAMVA Summary'!D$75:D$76)*(MONTH($E120)-1)/12)*$H120</f>
        <v>329.92698682569579</v>
      </c>
      <c r="J120" s="230">
        <f>(SUM('1.  LRAMVA Summary'!E$54:E$74)+SUM('1.  LRAMVA Summary'!E$75:E$76)*(MONTH($E120)-1)/12)*$H120</f>
        <v>117.63134689181686</v>
      </c>
      <c r="K120" s="230">
        <f>(SUM('1.  LRAMVA Summary'!F$54:F$74)+SUM('1.  LRAMVA Summary'!F$75:F$76)*(MONTH($E120)-1)/12)*$H120</f>
        <v>515.40592381441274</v>
      </c>
      <c r="L120" s="230">
        <f>(SUM('1.  LRAMVA Summary'!G$54:G$74)+SUM('1.  LRAMVA Summary'!G$75:G$76)*(MONTH($E120)-1)/12)*$H120</f>
        <v>39.014845611571118</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1001.9791031434964</v>
      </c>
    </row>
    <row r="121" spans="2:23" s="9" customFormat="1">
      <c r="B121" s="66"/>
      <c r="E121" s="214">
        <v>43132</v>
      </c>
      <c r="F121" s="214" t="s">
        <v>185</v>
      </c>
      <c r="G121" s="215" t="s">
        <v>65</v>
      </c>
      <c r="H121" s="240">
        <f t="shared" ref="H121:H122" si="62">$C$43/12</f>
        <v>1.25E-3</v>
      </c>
      <c r="I121" s="230">
        <f>(SUM('1.  LRAMVA Summary'!D$54:D$74)+SUM('1.  LRAMVA Summary'!D$75:D$76)*(MONTH($E121)-1)/12)*$H121</f>
        <v>343.9590359840783</v>
      </c>
      <c r="J121" s="230">
        <f>(SUM('1.  LRAMVA Summary'!E$54:E$74)+SUM('1.  LRAMVA Summary'!E$75:E$76)*(MONTH($E121)-1)/12)*$H121</f>
        <v>130.54247787529036</v>
      </c>
      <c r="K121" s="230">
        <f>(SUM('1.  LRAMVA Summary'!F$54:F$74)+SUM('1.  LRAMVA Summary'!F$75:F$76)*(MONTH($E121)-1)/12)*$H121</f>
        <v>564.63747356738156</v>
      </c>
      <c r="L121" s="230">
        <f>(SUM('1.  LRAMVA Summary'!G$54:G$74)+SUM('1.  LRAMVA Summary'!G$75:G$76)*(MONTH($E121)-1)/12)*$H121</f>
        <v>50.285690168129989</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1089.4246775948802</v>
      </c>
    </row>
    <row r="122" spans="2:23" s="9" customFormat="1">
      <c r="B122" s="66"/>
      <c r="E122" s="214">
        <v>43160</v>
      </c>
      <c r="F122" s="214" t="s">
        <v>185</v>
      </c>
      <c r="G122" s="215" t="s">
        <v>65</v>
      </c>
      <c r="H122" s="240">
        <f t="shared" si="62"/>
        <v>1.25E-3</v>
      </c>
      <c r="I122" s="230">
        <f>(SUM('1.  LRAMVA Summary'!D$54:D$74)+SUM('1.  LRAMVA Summary'!D$75:D$76)*(MONTH($E122)-1)/12)*$H122</f>
        <v>357.99108514246075</v>
      </c>
      <c r="J122" s="230">
        <f>(SUM('1.  LRAMVA Summary'!E$54:E$74)+SUM('1.  LRAMVA Summary'!E$75:E$76)*(MONTH($E122)-1)/12)*$H122</f>
        <v>143.45360885876389</v>
      </c>
      <c r="K122" s="230">
        <f>(SUM('1.  LRAMVA Summary'!F$54:F$74)+SUM('1.  LRAMVA Summary'!F$75:F$76)*(MONTH($E122)-1)/12)*$H122</f>
        <v>613.86902332035027</v>
      </c>
      <c r="L122" s="230">
        <f>(SUM('1.  LRAMVA Summary'!G$54:G$74)+SUM('1.  LRAMVA Summary'!G$75:G$76)*(MONTH($E122)-1)/12)*$H122</f>
        <v>61.556534724688866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1176.8702520462639</v>
      </c>
    </row>
    <row r="123" spans="2:23" s="8" customFormat="1">
      <c r="B123" s="239"/>
      <c r="E123" s="214">
        <v>43191</v>
      </c>
      <c r="F123" s="214" t="s">
        <v>185</v>
      </c>
      <c r="G123" s="215" t="s">
        <v>66</v>
      </c>
      <c r="H123" s="240">
        <f>$C$44/12</f>
        <v>1.575E-3</v>
      </c>
      <c r="I123" s="230">
        <f>(SUM('1.  LRAMVA Summary'!D$54:D$74)+SUM('1.  LRAMVA Summary'!D$75:D$76)*(MONTH($E123)-1)/12)*$H123</f>
        <v>468.74914921906247</v>
      </c>
      <c r="J123" s="230">
        <f>(SUM('1.  LRAMVA Summary'!E$54:E$74)+SUM('1.  LRAMVA Summary'!E$75:E$76)*(MONTH($E123)-1)/12)*$H123</f>
        <v>197.01957220121909</v>
      </c>
      <c r="K123" s="230">
        <f>(SUM('1.  LRAMVA Summary'!F$54:F$74)+SUM('1.  LRAMVA Summary'!F$75:F$76)*(MONTH($E123)-1)/12)*$H123</f>
        <v>835.50672207238188</v>
      </c>
      <c r="L123" s="230">
        <f>(SUM('1.  LRAMVA Summary'!G$54:G$74)+SUM('1.  LRAMVA Summary'!G$75:G$76)*(MONTH($E123)-1)/12)*$H123</f>
        <v>91.76249789437216</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1593.0379413870355</v>
      </c>
    </row>
    <row r="124" spans="2:23" s="9" customFormat="1">
      <c r="B124" s="66"/>
      <c r="E124" s="214">
        <v>43221</v>
      </c>
      <c r="F124" s="214" t="s">
        <v>185</v>
      </c>
      <c r="G124" s="215" t="s">
        <v>66</v>
      </c>
      <c r="H124" s="240">
        <f t="shared" ref="H124:H125" si="64">$C$44/12</f>
        <v>1.575E-3</v>
      </c>
      <c r="I124" s="230">
        <f>(SUM('1.  LRAMVA Summary'!D$54:D$74)+SUM('1.  LRAMVA Summary'!D$75:D$76)*(MONTH($E124)-1)/12)*$H124</f>
        <v>486.42953115862434</v>
      </c>
      <c r="J124" s="230">
        <f>(SUM('1.  LRAMVA Summary'!E$54:E$74)+SUM('1.  LRAMVA Summary'!E$75:E$76)*(MONTH($E124)-1)/12)*$H124</f>
        <v>213.28759724039571</v>
      </c>
      <c r="K124" s="230">
        <f>(SUM('1.  LRAMVA Summary'!F$54:F$74)+SUM('1.  LRAMVA Summary'!F$75:F$76)*(MONTH($E124)-1)/12)*$H124</f>
        <v>897.53847476112264</v>
      </c>
      <c r="L124" s="230">
        <f>(SUM('1.  LRAMVA Summary'!G$54:G$74)+SUM('1.  LRAMVA Summary'!G$75:G$76)*(MONTH($E124)-1)/12)*$H124</f>
        <v>105.96376203563634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1703.2193651957791</v>
      </c>
    </row>
    <row r="125" spans="2:23" s="238" customFormat="1">
      <c r="B125" s="237"/>
      <c r="E125" s="214">
        <v>43252</v>
      </c>
      <c r="F125" s="214" t="s">
        <v>185</v>
      </c>
      <c r="G125" s="215" t="s">
        <v>66</v>
      </c>
      <c r="H125" s="240">
        <f t="shared" si="64"/>
        <v>1.575E-3</v>
      </c>
      <c r="I125" s="230">
        <f>(SUM('1.  LRAMVA Summary'!D$54:D$74)+SUM('1.  LRAMVA Summary'!D$75:D$76)*(MONTH($E125)-1)/12)*$H125</f>
        <v>504.10991309818633</v>
      </c>
      <c r="J125" s="230">
        <f>(SUM('1.  LRAMVA Summary'!E$54:E$74)+SUM('1.  LRAMVA Summary'!E$75:E$76)*(MONTH($E125)-1)/12)*$H125</f>
        <v>229.55562227957236</v>
      </c>
      <c r="K125" s="230">
        <f>(SUM('1.  LRAMVA Summary'!F$54:F$74)+SUM('1.  LRAMVA Summary'!F$75:F$76)*(MONTH($E125)-1)/12)*$H125</f>
        <v>959.57022744986318</v>
      </c>
      <c r="L125" s="230">
        <f>(SUM('1.  LRAMVA Summary'!G$54:G$74)+SUM('1.  LRAMVA Summary'!G$75:G$76)*(MONTH($E125)-1)/12)*$H125</f>
        <v>120.1650261769005</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1813.4007890045223</v>
      </c>
    </row>
    <row r="126" spans="2:23" s="9" customFormat="1">
      <c r="B126" s="66"/>
      <c r="E126" s="214">
        <v>43282</v>
      </c>
      <c r="F126" s="214" t="s">
        <v>185</v>
      </c>
      <c r="G126" s="215" t="s">
        <v>68</v>
      </c>
      <c r="H126" s="240">
        <f>$C$45/12</f>
        <v>1.575E-3</v>
      </c>
      <c r="I126" s="230">
        <f>(SUM('1.  LRAMVA Summary'!D$54:D$74)+SUM('1.  LRAMVA Summary'!D$75:D$76)*(MONTH($E126)-1)/12)*$H126</f>
        <v>521.79029503774825</v>
      </c>
      <c r="J126" s="230">
        <f>(SUM('1.  LRAMVA Summary'!E$54:E$74)+SUM('1.  LRAMVA Summary'!E$75:E$76)*(MONTH($E126)-1)/12)*$H126</f>
        <v>245.82364731874895</v>
      </c>
      <c r="K126" s="230">
        <f>(SUM('1.  LRAMVA Summary'!F$54:F$74)+SUM('1.  LRAMVA Summary'!F$75:F$76)*(MONTH($E126)-1)/12)*$H126</f>
        <v>1021.6019801386038</v>
      </c>
      <c r="L126" s="230">
        <f>(SUM('1.  LRAMVA Summary'!G$54:G$74)+SUM('1.  LRAMVA Summary'!G$75:G$76)*(MONTH($E126)-1)/12)*$H126</f>
        <v>134.36629031816469</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1923.5822128132656</v>
      </c>
    </row>
    <row r="127" spans="2:23" s="9" customFormat="1">
      <c r="B127" s="66"/>
      <c r="E127" s="214">
        <v>43313</v>
      </c>
      <c r="F127" s="214" t="s">
        <v>185</v>
      </c>
      <c r="G127" s="215" t="s">
        <v>68</v>
      </c>
      <c r="H127" s="240">
        <f t="shared" ref="H127:H128" si="65">$C$45/12</f>
        <v>1.575E-3</v>
      </c>
      <c r="I127" s="230">
        <f>(SUM('1.  LRAMVA Summary'!D$54:D$74)+SUM('1.  LRAMVA Summary'!D$75:D$76)*(MONTH($E127)-1)/12)*$H127</f>
        <v>539.47067697731018</v>
      </c>
      <c r="J127" s="230">
        <f>(SUM('1.  LRAMVA Summary'!E$54:E$74)+SUM('1.  LRAMVA Summary'!E$75:E$76)*(MONTH($E127)-1)/12)*$H127</f>
        <v>262.09167235792557</v>
      </c>
      <c r="K127" s="230">
        <f>(SUM('1.  LRAMVA Summary'!F$54:F$74)+SUM('1.  LRAMVA Summary'!F$75:F$76)*(MONTH($E127)-1)/12)*$H127</f>
        <v>1083.6337328273444</v>
      </c>
      <c r="L127" s="230">
        <f>(SUM('1.  LRAMVA Summary'!G$54:G$74)+SUM('1.  LRAMVA Summary'!G$75:G$76)*(MONTH($E127)-1)/12)*$H127</f>
        <v>148.56755445942886</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2033.763636622009</v>
      </c>
    </row>
    <row r="128" spans="2:23" s="9" customFormat="1">
      <c r="B128" s="66"/>
      <c r="E128" s="214">
        <v>43344</v>
      </c>
      <c r="F128" s="214" t="s">
        <v>185</v>
      </c>
      <c r="G128" s="215" t="s">
        <v>68</v>
      </c>
      <c r="H128" s="240">
        <f t="shared" si="65"/>
        <v>1.575E-3</v>
      </c>
      <c r="I128" s="230">
        <f>(SUM('1.  LRAMVA Summary'!D$54:D$74)+SUM('1.  LRAMVA Summary'!D$75:D$76)*(MONTH($E128)-1)/12)*$H128</f>
        <v>557.1510589168721</v>
      </c>
      <c r="J128" s="230">
        <f>(SUM('1.  LRAMVA Summary'!E$54:E$74)+SUM('1.  LRAMVA Summary'!E$75:E$76)*(MONTH($E128)-1)/12)*$H128</f>
        <v>278.3596973971022</v>
      </c>
      <c r="K128" s="230">
        <f>(SUM('1.  LRAMVA Summary'!F$54:F$74)+SUM('1.  LRAMVA Summary'!F$75:F$76)*(MONTH($E128)-1)/12)*$H128</f>
        <v>1145.665485516085</v>
      </c>
      <c r="L128" s="230">
        <f>(SUM('1.  LRAMVA Summary'!G$54:G$74)+SUM('1.  LRAMVA Summary'!G$75:G$76)*(MONTH($E128)-1)/12)*$H128</f>
        <v>162.76881860069304</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2143.9450604307522</v>
      </c>
    </row>
    <row r="129" spans="2:23" s="9" customFormat="1">
      <c r="B129" s="66"/>
      <c r="E129" s="214">
        <v>43374</v>
      </c>
      <c r="F129" s="214" t="s">
        <v>185</v>
      </c>
      <c r="G129" s="215" t="s">
        <v>69</v>
      </c>
      <c r="H129" s="240">
        <f>$C$46/12</f>
        <v>1.8083333333333335E-3</v>
      </c>
      <c r="I129" s="230">
        <f>(SUM('1.  LRAMVA Summary'!D$54:D$74)+SUM('1.  LRAMVA Summary'!D$75:D$76)*(MONTH($E129)-1)/12)*$H129</f>
        <v>659.99165431664653</v>
      </c>
      <c r="J129" s="230">
        <f>(SUM('1.  LRAMVA Summary'!E$54:E$74)+SUM('1.  LRAMVA Summary'!E$75:E$76)*(MONTH($E129)-1)/12)*$H129</f>
        <v>338.27627390832009</v>
      </c>
      <c r="K129" s="230">
        <f>(SUM('1.  LRAMVA Summary'!F$54:F$74)+SUM('1.  LRAMVA Summary'!F$75:F$76)*(MONTH($E129)-1)/12)*$H129</f>
        <v>1386.6153475685035</v>
      </c>
      <c r="L129" s="230">
        <f>(SUM('1.  LRAMVA Summary'!G$54:G$74)+SUM('1.  LRAMVA Summary'!G$75:G$76)*(MONTH($E129)-1)/12)*$H129</f>
        <v>203.18787277780274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2588.0711485712727</v>
      </c>
    </row>
    <row r="130" spans="2:23" s="9" customFormat="1">
      <c r="B130" s="66"/>
      <c r="E130" s="214">
        <v>43405</v>
      </c>
      <c r="F130" s="214" t="s">
        <v>185</v>
      </c>
      <c r="G130" s="215" t="s">
        <v>69</v>
      </c>
      <c r="H130" s="240">
        <f t="shared" ref="H130:H131" si="66">$C$46/12</f>
        <v>1.8083333333333335E-3</v>
      </c>
      <c r="I130" s="230">
        <f>(SUM('1.  LRAMVA Summary'!D$54:D$74)+SUM('1.  LRAMVA Summary'!D$75:D$76)*(MONTH($E130)-1)/12)*$H130</f>
        <v>680.29135209910646</v>
      </c>
      <c r="J130" s="230">
        <f>(SUM('1.  LRAMVA Summary'!E$54:E$74)+SUM('1.  LRAMVA Summary'!E$75:E$76)*(MONTH($E130)-1)/12)*$H130</f>
        <v>356.95437673107853</v>
      </c>
      <c r="K130" s="230">
        <f>(SUM('1.  LRAMVA Summary'!F$54:F$74)+SUM('1.  LRAMVA Summary'!F$75:F$76)*(MONTH($E130)-1)/12)*$H130</f>
        <v>1457.836989544465</v>
      </c>
      <c r="L130" s="230">
        <f>(SUM('1.  LRAMVA Summary'!G$54:G$74)+SUM('1.  LRAMVA Summary'!G$75:G$76)*(MONTH($E130)-1)/12)*$H130</f>
        <v>219.49302790295792</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2714.5757462776082</v>
      </c>
    </row>
    <row r="131" spans="2:23" s="9" customFormat="1">
      <c r="B131" s="66"/>
      <c r="E131" s="214">
        <v>43435</v>
      </c>
      <c r="F131" s="214" t="s">
        <v>185</v>
      </c>
      <c r="G131" s="215" t="s">
        <v>69</v>
      </c>
      <c r="H131" s="240">
        <f t="shared" si="66"/>
        <v>1.8083333333333335E-3</v>
      </c>
      <c r="I131" s="230">
        <f>(SUM('1.  LRAMVA Summary'!D$54:D$74)+SUM('1.  LRAMVA Summary'!D$75:D$76)*(MONTH($E131)-1)/12)*$H131</f>
        <v>700.59104988156651</v>
      </c>
      <c r="J131" s="230">
        <f>(SUM('1.  LRAMVA Summary'!E$54:E$74)+SUM('1.  LRAMVA Summary'!E$75:E$76)*(MONTH($E131)-1)/12)*$H131</f>
        <v>375.63247955383679</v>
      </c>
      <c r="K131" s="230">
        <f>(SUM('1.  LRAMVA Summary'!F$54:F$74)+SUM('1.  LRAMVA Summary'!F$75:F$76)*(MONTH($E131)-1)/12)*$H131</f>
        <v>1529.0586315204266</v>
      </c>
      <c r="L131" s="230">
        <f>(SUM('1.  LRAMVA Summary'!G$54:G$74)+SUM('1.  LRAMVA Summary'!G$75:G$76)*(MONTH($E131)-1)/12)*$H131</f>
        <v>235.7981830281131</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2841.0803439839428</v>
      </c>
    </row>
    <row r="132" spans="2:23" s="9" customFormat="1" ht="15.75" thickBot="1">
      <c r="B132" s="66"/>
      <c r="E132" s="216" t="s">
        <v>468</v>
      </c>
      <c r="F132" s="216"/>
      <c r="G132" s="217"/>
      <c r="H132" s="218"/>
      <c r="I132" s="219">
        <f>SUM(I119:I131)</f>
        <v>7701.1086267381288</v>
      </c>
      <c r="J132" s="219">
        <f>SUM(J119:J131)</f>
        <v>3441.4957030056094</v>
      </c>
      <c r="K132" s="219">
        <f t="shared" ref="K132:O132" si="67">SUM(K119:K131)</f>
        <v>14433.347854028681</v>
      </c>
      <c r="L132" s="219">
        <f t="shared" si="67"/>
        <v>1756.2998780728435</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27332.252061845262</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7701.1086267381288</v>
      </c>
      <c r="J134" s="228">
        <f t="shared" ref="J134" si="69">J132+J133</f>
        <v>3441.4957030056094</v>
      </c>
      <c r="K134" s="228">
        <f t="shared" ref="K134" si="70">K132+K133</f>
        <v>14433.347854028681</v>
      </c>
      <c r="L134" s="228">
        <f t="shared" ref="L134" si="71">L132+L133</f>
        <v>1756.2998780728435</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27332.252061845262</v>
      </c>
    </row>
    <row r="135" spans="2:23" s="9" customFormat="1">
      <c r="B135" s="66"/>
      <c r="E135" s="214">
        <v>43466</v>
      </c>
      <c r="F135" s="214" t="s">
        <v>186</v>
      </c>
      <c r="G135" s="215" t="s">
        <v>65</v>
      </c>
      <c r="H135" s="240">
        <f>$C$47/12</f>
        <v>2.0416666666666669E-3</v>
      </c>
      <c r="I135" s="230">
        <f>(SUM('1.  LRAMVA Summary'!D$54:D$77)+SUM('1.  LRAMVA Summary'!D$78:D$79)*(MONTH($E135)-1)/12)*$H135</f>
        <v>813.90890865293306</v>
      </c>
      <c r="J135" s="230">
        <f>(SUM('1.  LRAMVA Summary'!E$54:E$77)+SUM('1.  LRAMVA Summary'!E$78:E$79)*(MONTH($E135)-1)/12)*$H135</f>
        <v>445.18936719938159</v>
      </c>
      <c r="K135" s="230">
        <f>(SUM('1.  LRAMVA Summary'!F$54:F$77)+SUM('1.  LRAMVA Summary'!F$78:F$79)*(MONTH($E135)-1)/12)*$H135</f>
        <v>1806.7680507217283</v>
      </c>
      <c r="L135" s="230">
        <f>(SUM('1.  LRAMVA Summary'!G$54:G$77)+SUM('1.  LRAMVA Summary'!G$78:G$79)*(MONTH($E135)-1)/12)*$H135</f>
        <v>284.6328011407868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3350.4991277148297</v>
      </c>
    </row>
    <row r="136" spans="2:23" s="9" customFormat="1">
      <c r="B136" s="66"/>
      <c r="E136" s="214">
        <v>43497</v>
      </c>
      <c r="F136" s="214" t="s">
        <v>186</v>
      </c>
      <c r="G136" s="215" t="s">
        <v>65</v>
      </c>
      <c r="H136" s="240">
        <f t="shared" ref="H136:H137" si="75">$C$47/12</f>
        <v>2.0416666666666669E-3</v>
      </c>
      <c r="I136" s="230">
        <f>(SUM('1.  LRAMVA Summary'!D$54:D$77)+SUM('1.  LRAMVA Summary'!D$78:D$79)*(MONTH($E136)-1)/12)*$H136</f>
        <v>813.90890865293306</v>
      </c>
      <c r="J136" s="230">
        <f>(SUM('1.  LRAMVA Summary'!E$54:E$77)+SUM('1.  LRAMVA Summary'!E$78:E$79)*(MONTH($E136)-1)/12)*$H136</f>
        <v>445.18936719938159</v>
      </c>
      <c r="K136" s="230">
        <f>(SUM('1.  LRAMVA Summary'!F$54:F$77)+SUM('1.  LRAMVA Summary'!F$78:F$79)*(MONTH($E136)-1)/12)*$H136</f>
        <v>1806.7680507217283</v>
      </c>
      <c r="L136" s="230">
        <f>(SUM('1.  LRAMVA Summary'!G$54:G$77)+SUM('1.  LRAMVA Summary'!G$78:G$79)*(MONTH($E136)-1)/12)*$H136</f>
        <v>284.6328011407868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3350.4991277148297</v>
      </c>
    </row>
    <row r="137" spans="2:23" s="9" customFormat="1">
      <c r="B137" s="66"/>
      <c r="E137" s="214">
        <v>43525</v>
      </c>
      <c r="F137" s="214" t="s">
        <v>186</v>
      </c>
      <c r="G137" s="215" t="s">
        <v>65</v>
      </c>
      <c r="H137" s="240">
        <f t="shared" si="75"/>
        <v>2.0416666666666669E-3</v>
      </c>
      <c r="I137" s="230">
        <f>(SUM('1.  LRAMVA Summary'!D$54:D$77)+SUM('1.  LRAMVA Summary'!D$78:D$79)*(MONTH($E137)-1)/12)*$H137</f>
        <v>813.90890865293306</v>
      </c>
      <c r="J137" s="230">
        <f>(SUM('1.  LRAMVA Summary'!E$54:E$77)+SUM('1.  LRAMVA Summary'!E$78:E$79)*(MONTH($E137)-1)/12)*$H137</f>
        <v>445.18936719938159</v>
      </c>
      <c r="K137" s="230">
        <f>(SUM('1.  LRAMVA Summary'!F$54:F$77)+SUM('1.  LRAMVA Summary'!F$78:F$79)*(MONTH($E137)-1)/12)*$H137</f>
        <v>1806.7680507217283</v>
      </c>
      <c r="L137" s="230">
        <f>(SUM('1.  LRAMVA Summary'!G$54:G$77)+SUM('1.  LRAMVA Summary'!G$78:G$79)*(MONTH($E137)-1)/12)*$H137</f>
        <v>284.6328011407868</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3350.4991277148297</v>
      </c>
    </row>
    <row r="138" spans="2:23" s="8" customFormat="1">
      <c r="B138" s="239"/>
      <c r="E138" s="214">
        <v>43556</v>
      </c>
      <c r="F138" s="214" t="s">
        <v>186</v>
      </c>
      <c r="G138" s="215" t="s">
        <v>66</v>
      </c>
      <c r="H138" s="240">
        <f>$C$48/12</f>
        <v>1.8166666666666667E-3</v>
      </c>
      <c r="I138" s="230">
        <f>(SUM('1.  LRAMVA Summary'!D$54:D$77)+SUM('1.  LRAMVA Summary'!D$78:D$79)*(MONTH($E138)-1)/12)*$H138</f>
        <v>724.2128248422016</v>
      </c>
      <c r="J138" s="230">
        <f>(SUM('1.  LRAMVA Summary'!E$54:E$77)+SUM('1.  LRAMVA Summary'!E$78:E$79)*(MONTH($E138)-1)/12)*$H138</f>
        <v>396.12768183455177</v>
      </c>
      <c r="K138" s="230">
        <f>(SUM('1.  LRAMVA Summary'!F$54:F$77)+SUM('1.  LRAMVA Summary'!F$78:F$79)*(MONTH($E138)-1)/12)*$H138</f>
        <v>1607.6548369687214</v>
      </c>
      <c r="L138" s="230">
        <f>(SUM('1.  LRAMVA Summary'!G$54:G$77)+SUM('1.  LRAMVA Summary'!G$78:G$79)*(MONTH($E138)-1)/12)*$H138</f>
        <v>253.26510468853678</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2981.2604483340115</v>
      </c>
    </row>
    <row r="139" spans="2:23" s="9" customFormat="1">
      <c r="B139" s="66"/>
      <c r="E139" s="214">
        <v>43586</v>
      </c>
      <c r="F139" s="214" t="s">
        <v>186</v>
      </c>
      <c r="G139" s="215" t="s">
        <v>66</v>
      </c>
      <c r="H139" s="240">
        <f>$C$48/12</f>
        <v>1.8166666666666667E-3</v>
      </c>
      <c r="I139" s="230">
        <f>(SUM('1.  LRAMVA Summary'!D$54:D$77)+SUM('1.  LRAMVA Summary'!D$78:D$79)*(MONTH($E139)-1)/12)*$H139</f>
        <v>724.2128248422016</v>
      </c>
      <c r="J139" s="230">
        <f>(SUM('1.  LRAMVA Summary'!E$54:E$77)+SUM('1.  LRAMVA Summary'!E$78:E$79)*(MONTH($E139)-1)/12)*$H139</f>
        <v>396.12768183455177</v>
      </c>
      <c r="K139" s="230">
        <f>(SUM('1.  LRAMVA Summary'!F$54:F$77)+SUM('1.  LRAMVA Summary'!F$78:F$79)*(MONTH($E139)-1)/12)*$H139</f>
        <v>1607.6548369687214</v>
      </c>
      <c r="L139" s="230">
        <f>(SUM('1.  LRAMVA Summary'!G$54:G$77)+SUM('1.  LRAMVA Summary'!G$78:G$79)*(MONTH($E139)-1)/12)*$H139</f>
        <v>253.26510468853678</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2981.2604483340115</v>
      </c>
    </row>
    <row r="140" spans="2:23" s="9" customFormat="1">
      <c r="B140" s="66"/>
      <c r="E140" s="214">
        <v>43617</v>
      </c>
      <c r="F140" s="214" t="s">
        <v>186</v>
      </c>
      <c r="G140" s="215" t="s">
        <v>66</v>
      </c>
      <c r="H140" s="240">
        <f t="shared" ref="H140" si="77">$C$48/12</f>
        <v>1.8166666666666667E-3</v>
      </c>
      <c r="I140" s="230">
        <f>(SUM('1.  LRAMVA Summary'!D$54:D$77)+SUM('1.  LRAMVA Summary'!D$78:D$79)*(MONTH($E140)-1)/12)*$H140</f>
        <v>724.2128248422016</v>
      </c>
      <c r="J140" s="230">
        <f>(SUM('1.  LRAMVA Summary'!E$54:E$77)+SUM('1.  LRAMVA Summary'!E$78:E$79)*(MONTH($E140)-1)/12)*$H140</f>
        <v>396.12768183455177</v>
      </c>
      <c r="K140" s="230">
        <f>(SUM('1.  LRAMVA Summary'!F$54:F$77)+SUM('1.  LRAMVA Summary'!F$78:F$79)*(MONTH($E140)-1)/12)*$H140</f>
        <v>1607.6548369687214</v>
      </c>
      <c r="L140" s="230">
        <f>(SUM('1.  LRAMVA Summary'!G$54:G$77)+SUM('1.  LRAMVA Summary'!G$78:G$79)*(MONTH($E140)-1)/12)*$H140</f>
        <v>253.26510468853678</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2981.2604483340115</v>
      </c>
    </row>
    <row r="141" spans="2:23" s="9" customFormat="1">
      <c r="B141" s="66"/>
      <c r="E141" s="214">
        <v>43647</v>
      </c>
      <c r="F141" s="214" t="s">
        <v>186</v>
      </c>
      <c r="G141" s="215" t="s">
        <v>68</v>
      </c>
      <c r="H141" s="240">
        <f>$C$49/12</f>
        <v>1.8166666666666667E-3</v>
      </c>
      <c r="I141" s="230">
        <f>(SUM('1.  LRAMVA Summary'!D$54:D$77)+SUM('1.  LRAMVA Summary'!D$78:D$79)*(MONTH($E141)-1)/12)*$H141</f>
        <v>724.2128248422016</v>
      </c>
      <c r="J141" s="230">
        <f>(SUM('1.  LRAMVA Summary'!E$54:E$77)+SUM('1.  LRAMVA Summary'!E$78:E$79)*(MONTH($E141)-1)/12)*$H141</f>
        <v>396.12768183455177</v>
      </c>
      <c r="K141" s="230">
        <f>(SUM('1.  LRAMVA Summary'!F$54:F$77)+SUM('1.  LRAMVA Summary'!F$78:F$79)*(MONTH($E141)-1)/12)*$H141</f>
        <v>1607.6548369687214</v>
      </c>
      <c r="L141" s="230">
        <f>(SUM('1.  LRAMVA Summary'!G$54:G$77)+SUM('1.  LRAMVA Summary'!G$78:G$79)*(MONTH($E141)-1)/12)*$H141</f>
        <v>253.26510468853678</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2981.2604483340115</v>
      </c>
    </row>
    <row r="142" spans="2:23" s="9" customFormat="1">
      <c r="B142" s="66"/>
      <c r="E142" s="214">
        <v>43678</v>
      </c>
      <c r="F142" s="214" t="s">
        <v>186</v>
      </c>
      <c r="G142" s="215" t="s">
        <v>68</v>
      </c>
      <c r="H142" s="240">
        <f t="shared" ref="H142" si="78">$C$49/12</f>
        <v>1.8166666666666667E-3</v>
      </c>
      <c r="I142" s="230">
        <f>(SUM('1.  LRAMVA Summary'!D$54:D$77)+SUM('1.  LRAMVA Summary'!D$78:D$79)*(MONTH($E142)-1)/12)*$H142</f>
        <v>724.2128248422016</v>
      </c>
      <c r="J142" s="230">
        <f>(SUM('1.  LRAMVA Summary'!E$54:E$77)+SUM('1.  LRAMVA Summary'!E$78:E$79)*(MONTH($E142)-1)/12)*$H142</f>
        <v>396.12768183455177</v>
      </c>
      <c r="K142" s="230">
        <f>(SUM('1.  LRAMVA Summary'!F$54:F$77)+SUM('1.  LRAMVA Summary'!F$78:F$79)*(MONTH($E142)-1)/12)*$H142</f>
        <v>1607.6548369687214</v>
      </c>
      <c r="L142" s="230">
        <f>(SUM('1.  LRAMVA Summary'!G$54:G$77)+SUM('1.  LRAMVA Summary'!G$78:G$79)*(MONTH($E142)-1)/12)*$H142</f>
        <v>253.26510468853678</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2981.2604483340115</v>
      </c>
    </row>
    <row r="143" spans="2:23" s="9" customFormat="1">
      <c r="B143" s="66"/>
      <c r="E143" s="214">
        <v>43709</v>
      </c>
      <c r="F143" s="214" t="s">
        <v>186</v>
      </c>
      <c r="G143" s="215" t="s">
        <v>68</v>
      </c>
      <c r="H143" s="240">
        <f>$C$49/12</f>
        <v>1.8166666666666667E-3</v>
      </c>
      <c r="I143" s="230">
        <f>(SUM('1.  LRAMVA Summary'!D$54:D$77)+SUM('1.  LRAMVA Summary'!D$78:D$79)*(MONTH($E143)-1)/12)*$H143</f>
        <v>724.2128248422016</v>
      </c>
      <c r="J143" s="230">
        <f>(SUM('1.  LRAMVA Summary'!E$54:E$77)+SUM('1.  LRAMVA Summary'!E$78:E$79)*(MONTH($E143)-1)/12)*$H143</f>
        <v>396.12768183455177</v>
      </c>
      <c r="K143" s="230">
        <f>(SUM('1.  LRAMVA Summary'!F$54:F$77)+SUM('1.  LRAMVA Summary'!F$78:F$79)*(MONTH($E143)-1)/12)*$H143</f>
        <v>1607.6548369687214</v>
      </c>
      <c r="L143" s="230">
        <f>(SUM('1.  LRAMVA Summary'!G$54:G$77)+SUM('1.  LRAMVA Summary'!G$78:G$79)*(MONTH($E143)-1)/12)*$H143</f>
        <v>253.26510468853678</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2981.2604483340115</v>
      </c>
    </row>
    <row r="144" spans="2:23" s="9" customFormat="1">
      <c r="B144" s="66"/>
      <c r="E144" s="214">
        <v>43739</v>
      </c>
      <c r="F144" s="214" t="s">
        <v>186</v>
      </c>
      <c r="G144" s="215" t="s">
        <v>69</v>
      </c>
      <c r="H144" s="240">
        <f>$C$50/12</f>
        <v>1.8166666666666667E-3</v>
      </c>
      <c r="I144" s="230">
        <f>(SUM('1.  LRAMVA Summary'!D$54:D$77)+SUM('1.  LRAMVA Summary'!D$78:D$79)*(MONTH($E144)-1)/12)*$H144</f>
        <v>724.2128248422016</v>
      </c>
      <c r="J144" s="230">
        <f>(SUM('1.  LRAMVA Summary'!E$54:E$77)+SUM('1.  LRAMVA Summary'!E$78:E$79)*(MONTH($E144)-1)/12)*$H144</f>
        <v>396.12768183455177</v>
      </c>
      <c r="K144" s="230">
        <f>(SUM('1.  LRAMVA Summary'!F$54:F$77)+SUM('1.  LRAMVA Summary'!F$78:F$79)*(MONTH($E144)-1)/12)*$H144</f>
        <v>1607.6548369687214</v>
      </c>
      <c r="L144" s="230">
        <f>(SUM('1.  LRAMVA Summary'!G$54:G$77)+SUM('1.  LRAMVA Summary'!G$78:G$79)*(MONTH($E144)-1)/12)*$H144</f>
        <v>253.26510468853678</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2981.2604483340115</v>
      </c>
    </row>
    <row r="145" spans="2:23" s="9" customFormat="1">
      <c r="B145" s="66"/>
      <c r="E145" s="214">
        <v>43770</v>
      </c>
      <c r="F145" s="214" t="s">
        <v>186</v>
      </c>
      <c r="G145" s="215" t="s">
        <v>69</v>
      </c>
      <c r="H145" s="240">
        <f t="shared" ref="H145:H146" si="79">$C$50/12</f>
        <v>1.8166666666666667E-3</v>
      </c>
      <c r="I145" s="230">
        <f>(SUM('1.  LRAMVA Summary'!D$54:D$77)+SUM('1.  LRAMVA Summary'!D$78:D$79)*(MONTH($E145)-1)/12)*$H145</f>
        <v>724.2128248422016</v>
      </c>
      <c r="J145" s="230">
        <f>(SUM('1.  LRAMVA Summary'!E$54:E$77)+SUM('1.  LRAMVA Summary'!E$78:E$79)*(MONTH($E145)-1)/12)*$H145</f>
        <v>396.12768183455177</v>
      </c>
      <c r="K145" s="230">
        <f>(SUM('1.  LRAMVA Summary'!F$54:F$77)+SUM('1.  LRAMVA Summary'!F$78:F$79)*(MONTH($E145)-1)/12)*$H145</f>
        <v>1607.6548369687214</v>
      </c>
      <c r="L145" s="230">
        <f>(SUM('1.  LRAMVA Summary'!G$54:G$77)+SUM('1.  LRAMVA Summary'!G$78:G$79)*(MONTH($E145)-1)/12)*$H145</f>
        <v>253.26510468853678</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2981.2604483340115</v>
      </c>
    </row>
    <row r="146" spans="2:23" s="9" customFormat="1">
      <c r="B146" s="66"/>
      <c r="E146" s="214">
        <v>43800</v>
      </c>
      <c r="F146" s="214" t="s">
        <v>186</v>
      </c>
      <c r="G146" s="215" t="s">
        <v>69</v>
      </c>
      <c r="H146" s="240">
        <f t="shared" si="79"/>
        <v>1.8166666666666667E-3</v>
      </c>
      <c r="I146" s="230">
        <f>(SUM('1.  LRAMVA Summary'!D$54:D$77)+SUM('1.  LRAMVA Summary'!D$78:D$79)*(MONTH($E146)-1)/12)*$H146</f>
        <v>724.2128248422016</v>
      </c>
      <c r="J146" s="230">
        <f>(SUM('1.  LRAMVA Summary'!E$54:E$77)+SUM('1.  LRAMVA Summary'!E$78:E$79)*(MONTH($E146)-1)/12)*$H146</f>
        <v>396.12768183455177</v>
      </c>
      <c r="K146" s="230">
        <f>(SUM('1.  LRAMVA Summary'!F$54:F$77)+SUM('1.  LRAMVA Summary'!F$78:F$79)*(MONTH($E146)-1)/12)*$H146</f>
        <v>1607.6548369687214</v>
      </c>
      <c r="L146" s="230">
        <f>(SUM('1.  LRAMVA Summary'!G$54:G$77)+SUM('1.  LRAMVA Summary'!G$78:G$79)*(MONTH($E146)-1)/12)*$H146</f>
        <v>253.26510468853678</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2981.2604483340115</v>
      </c>
    </row>
    <row r="147" spans="2:23" s="9" customFormat="1" ht="15.75" thickBot="1">
      <c r="B147" s="66"/>
      <c r="E147" s="216" t="s">
        <v>469</v>
      </c>
      <c r="F147" s="216"/>
      <c r="G147" s="217"/>
      <c r="H147" s="218"/>
      <c r="I147" s="219">
        <f>SUM(I134:I146)</f>
        <v>16660.750776276742</v>
      </c>
      <c r="J147" s="219">
        <f>SUM(J134:J146)</f>
        <v>8342.2129411147162</v>
      </c>
      <c r="K147" s="219">
        <f t="shared" ref="K147:O147" si="80">SUM(K134:K146)</f>
        <v>34322.545538912367</v>
      </c>
      <c r="L147" s="219">
        <f t="shared" si="80"/>
        <v>4889.5842236920344</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64215.093479995849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16660.750776276742</v>
      </c>
      <c r="J149" s="228">
        <f t="shared" ref="J149" si="82">J147+J148</f>
        <v>8342.2129411147162</v>
      </c>
      <c r="K149" s="228">
        <f t="shared" ref="K149" si="83">K147+K148</f>
        <v>34322.545538912367</v>
      </c>
      <c r="L149" s="228">
        <f t="shared" ref="L149" si="84">L147+L148</f>
        <v>4889.5842236920344</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64215.093479995849</v>
      </c>
    </row>
    <row r="150" spans="2:23" s="9" customFormat="1">
      <c r="B150" s="66"/>
      <c r="E150" s="214">
        <v>43831</v>
      </c>
      <c r="F150" s="214" t="s">
        <v>187</v>
      </c>
      <c r="G150" s="215" t="s">
        <v>65</v>
      </c>
      <c r="H150" s="240">
        <f>$C$51/12</f>
        <v>1.8166666666666667E-3</v>
      </c>
      <c r="I150" s="230">
        <f>(SUM('1.  LRAMVA Summary'!D$54:D$80)+SUM('1.  LRAMVA Summary'!D$81:D$82)*(MONTH($E150)-1)/12)*$H150</f>
        <v>724.2128248422016</v>
      </c>
      <c r="J150" s="230">
        <f>(SUM('1.  LRAMVA Summary'!E$54:E$80)+SUM('1.  LRAMVA Summary'!E$81:E$82)*(MONTH($E150)-1)/12)*$H150</f>
        <v>396.12768183455177</v>
      </c>
      <c r="K150" s="230">
        <f>(SUM('1.  LRAMVA Summary'!F$54:F$80)+SUM('1.  LRAMVA Summary'!F$81:F$82)*(MONTH($E150)-1)/12)*$H150</f>
        <v>1607.6548369687214</v>
      </c>
      <c r="L150" s="230">
        <f>(SUM('1.  LRAMVA Summary'!G$54:G$80)+SUM('1.  LRAMVA Summary'!G$81:G$82)*(MONTH($E150)-1)/12)*$H150</f>
        <v>253.26510468853678</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2981.2604483340115</v>
      </c>
    </row>
    <row r="151" spans="2:23" s="9" customFormat="1">
      <c r="B151" s="66"/>
      <c r="E151" s="214">
        <v>43862</v>
      </c>
      <c r="F151" s="214" t="s">
        <v>187</v>
      </c>
      <c r="G151" s="215" t="s">
        <v>65</v>
      </c>
      <c r="H151" s="240">
        <f t="shared" ref="H151:H152" si="88">$C$51/12</f>
        <v>1.8166666666666667E-3</v>
      </c>
      <c r="I151" s="230">
        <f>(SUM('1.  LRAMVA Summary'!D$54:D$80)+SUM('1.  LRAMVA Summary'!D$81:D$82)*(MONTH($E151)-1)/12)*$H151</f>
        <v>724.2128248422016</v>
      </c>
      <c r="J151" s="230">
        <f>(SUM('1.  LRAMVA Summary'!E$54:E$80)+SUM('1.  LRAMVA Summary'!E$81:E$82)*(MONTH($E151)-1)/12)*$H151</f>
        <v>396.12768183455177</v>
      </c>
      <c r="K151" s="230">
        <f>(SUM('1.  LRAMVA Summary'!F$54:F$80)+SUM('1.  LRAMVA Summary'!F$81:F$82)*(MONTH($E151)-1)/12)*$H151</f>
        <v>1607.6548369687214</v>
      </c>
      <c r="L151" s="230">
        <f>(SUM('1.  LRAMVA Summary'!G$54:G$80)+SUM('1.  LRAMVA Summary'!G$81:G$82)*(MONTH($E151)-1)/12)*$H151</f>
        <v>253.26510468853678</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2981.2604483340115</v>
      </c>
    </row>
    <row r="152" spans="2:23" s="9" customFormat="1">
      <c r="B152" s="66"/>
      <c r="E152" s="214">
        <v>43891</v>
      </c>
      <c r="F152" s="214" t="s">
        <v>187</v>
      </c>
      <c r="G152" s="215" t="s">
        <v>65</v>
      </c>
      <c r="H152" s="240">
        <f t="shared" si="88"/>
        <v>1.8166666666666667E-3</v>
      </c>
      <c r="I152" s="230">
        <f>(SUM('1.  LRAMVA Summary'!D$54:D$80)+SUM('1.  LRAMVA Summary'!D$81:D$82)*(MONTH($E152)-1)/12)*$H152</f>
        <v>724.2128248422016</v>
      </c>
      <c r="J152" s="230">
        <f>(SUM('1.  LRAMVA Summary'!E$54:E$80)+SUM('1.  LRAMVA Summary'!E$81:E$82)*(MONTH($E152)-1)/12)*$H152</f>
        <v>396.12768183455177</v>
      </c>
      <c r="K152" s="230">
        <f>(SUM('1.  LRAMVA Summary'!F$54:F$80)+SUM('1.  LRAMVA Summary'!F$81:F$82)*(MONTH($E152)-1)/12)*$H152</f>
        <v>1607.6548369687214</v>
      </c>
      <c r="L152" s="230">
        <f>(SUM('1.  LRAMVA Summary'!G$54:G$80)+SUM('1.  LRAMVA Summary'!G$81:G$82)*(MONTH($E152)-1)/12)*$H152</f>
        <v>253.26510468853678</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2981.2604483340115</v>
      </c>
    </row>
    <row r="153" spans="2:23" s="9" customFormat="1">
      <c r="B153" s="66"/>
      <c r="E153" s="214">
        <v>43922</v>
      </c>
      <c r="F153" s="214" t="s">
        <v>187</v>
      </c>
      <c r="G153" s="215" t="s">
        <v>66</v>
      </c>
      <c r="H153" s="240">
        <f>$C$52/12</f>
        <v>1.8166666666666667E-3</v>
      </c>
      <c r="I153" s="230">
        <f>(SUM('1.  LRAMVA Summary'!D$54:D$80)+SUM('1.  LRAMVA Summary'!D$81:D$82)*(MONTH($E153)-1)/12)*$H153</f>
        <v>724.2128248422016</v>
      </c>
      <c r="J153" s="230">
        <f>(SUM('1.  LRAMVA Summary'!E$54:E$80)+SUM('1.  LRAMVA Summary'!E$81:E$82)*(MONTH($E153)-1)/12)*$H153</f>
        <v>396.12768183455177</v>
      </c>
      <c r="K153" s="230">
        <f>(SUM('1.  LRAMVA Summary'!F$54:F$80)+SUM('1.  LRAMVA Summary'!F$81:F$82)*(MONTH($E153)-1)/12)*$H153</f>
        <v>1607.6548369687214</v>
      </c>
      <c r="L153" s="230">
        <f>(SUM('1.  LRAMVA Summary'!G$54:G$80)+SUM('1.  LRAMVA Summary'!G$81:G$82)*(MONTH($E153)-1)/12)*$H153</f>
        <v>253.26510468853678</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2981.2604483340115</v>
      </c>
    </row>
    <row r="154" spans="2:23" s="9" customFormat="1">
      <c r="B154" s="66"/>
      <c r="E154" s="214">
        <v>43952</v>
      </c>
      <c r="F154" s="214" t="s">
        <v>187</v>
      </c>
      <c r="G154" s="215" t="s">
        <v>66</v>
      </c>
      <c r="H154" s="240">
        <f t="shared" ref="H154:H155" si="90">$C$52/12</f>
        <v>1.8166666666666667E-3</v>
      </c>
      <c r="I154" s="230">
        <f>(SUM('1.  LRAMVA Summary'!D$54:D$80)+SUM('1.  LRAMVA Summary'!D$81:D$82)*(MONTH($E154)-1)/12)*$H154</f>
        <v>724.2128248422016</v>
      </c>
      <c r="J154" s="230">
        <f>(SUM('1.  LRAMVA Summary'!E$54:E$80)+SUM('1.  LRAMVA Summary'!E$81:E$82)*(MONTH($E154)-1)/12)*$H154</f>
        <v>396.12768183455177</v>
      </c>
      <c r="K154" s="230">
        <f>(SUM('1.  LRAMVA Summary'!F$54:F$80)+SUM('1.  LRAMVA Summary'!F$81:F$82)*(MONTH($E154)-1)/12)*$H154</f>
        <v>1607.6548369687214</v>
      </c>
      <c r="L154" s="230">
        <f>(SUM('1.  LRAMVA Summary'!G$54:G$80)+SUM('1.  LRAMVA Summary'!G$81:G$82)*(MONTH($E154)-1)/12)*$H154</f>
        <v>253.26510468853678</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2981.2604483340115</v>
      </c>
    </row>
    <row r="155" spans="2:23" s="9" customFormat="1">
      <c r="B155" s="66"/>
      <c r="E155" s="214">
        <v>43983</v>
      </c>
      <c r="F155" s="214" t="s">
        <v>187</v>
      </c>
      <c r="G155" s="215" t="s">
        <v>66</v>
      </c>
      <c r="H155" s="240">
        <f t="shared" si="90"/>
        <v>1.8166666666666667E-3</v>
      </c>
      <c r="I155" s="230">
        <f>(SUM('1.  LRAMVA Summary'!D$54:D$80)+SUM('1.  LRAMVA Summary'!D$81:D$82)*(MONTH($E155)-1)/12)*$H155</f>
        <v>724.2128248422016</v>
      </c>
      <c r="J155" s="230">
        <f>(SUM('1.  LRAMVA Summary'!E$54:E$80)+SUM('1.  LRAMVA Summary'!E$81:E$82)*(MONTH($E155)-1)/12)*$H155</f>
        <v>396.12768183455177</v>
      </c>
      <c r="K155" s="230">
        <f>(SUM('1.  LRAMVA Summary'!F$54:F$80)+SUM('1.  LRAMVA Summary'!F$81:F$82)*(MONTH($E155)-1)/12)*$H155</f>
        <v>1607.6548369687214</v>
      </c>
      <c r="L155" s="230">
        <f>(SUM('1.  LRAMVA Summary'!G$54:G$80)+SUM('1.  LRAMVA Summary'!G$81:G$82)*(MONTH($E155)-1)/12)*$H155</f>
        <v>253.26510468853678</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2981.2604483340115</v>
      </c>
    </row>
    <row r="156" spans="2:23" s="9" customFormat="1">
      <c r="B156" s="66"/>
      <c r="E156" s="214">
        <v>44013</v>
      </c>
      <c r="F156" s="214" t="s">
        <v>187</v>
      </c>
      <c r="G156" s="215" t="s">
        <v>68</v>
      </c>
      <c r="H156" s="240">
        <f>$C$53/12</f>
        <v>4.75E-4</v>
      </c>
      <c r="I156" s="230">
        <f>(SUM('1.  LRAMVA Summary'!D$54:D$80)+SUM('1.  LRAMVA Summary'!D$81:D$82)*(MONTH($E156)-1)/12)*$H156</f>
        <v>189.35839915598848</v>
      </c>
      <c r="J156" s="230">
        <f>(SUM('1.  LRAMVA Summary'!E$54:E$80)+SUM('1.  LRAMVA Summary'!E$81:E$82)*(MONTH($E156)-1)/12)*$H156</f>
        <v>103.57466910352959</v>
      </c>
      <c r="K156" s="230">
        <f>(SUM('1.  LRAMVA Summary'!F$54:F$80)+SUM('1.  LRAMVA Summary'!F$81:F$82)*(MONTH($E156)-1)/12)*$H156</f>
        <v>420.3501179230143</v>
      </c>
      <c r="L156" s="230">
        <f>(SUM('1.  LRAMVA Summary'!G$54:G$80)+SUM('1.  LRAMVA Summary'!G$81:G$82)*(MONTH($E156)-1)/12)*$H156</f>
        <v>66.220692510305483</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779.50387869283782</v>
      </c>
    </row>
    <row r="157" spans="2:23" s="9" customFormat="1">
      <c r="B157" s="66"/>
      <c r="E157" s="214">
        <v>44044</v>
      </c>
      <c r="F157" s="214" t="s">
        <v>187</v>
      </c>
      <c r="G157" s="215" t="s">
        <v>68</v>
      </c>
      <c r="H157" s="240">
        <f t="shared" ref="H157:H158" si="91">$C$53/12</f>
        <v>4.75E-4</v>
      </c>
      <c r="I157" s="230">
        <f>(SUM('1.  LRAMVA Summary'!D$54:D$80)+SUM('1.  LRAMVA Summary'!D$81:D$82)*(MONTH($E157)-1)/12)*$H157</f>
        <v>189.35839915598848</v>
      </c>
      <c r="J157" s="230">
        <f>(SUM('1.  LRAMVA Summary'!E$54:E$80)+SUM('1.  LRAMVA Summary'!E$81:E$82)*(MONTH($E157)-1)/12)*$H157</f>
        <v>103.57466910352959</v>
      </c>
      <c r="K157" s="230">
        <f>(SUM('1.  LRAMVA Summary'!F$54:F$80)+SUM('1.  LRAMVA Summary'!F$81:F$82)*(MONTH($E157)-1)/12)*$H157</f>
        <v>420.3501179230143</v>
      </c>
      <c r="L157" s="230">
        <f>(SUM('1.  LRAMVA Summary'!G$54:G$80)+SUM('1.  LRAMVA Summary'!G$81:G$82)*(MONTH($E157)-1)/12)*$H157</f>
        <v>66.220692510305483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779.50387869283782</v>
      </c>
    </row>
    <row r="158" spans="2:23" s="9" customFormat="1">
      <c r="B158" s="66"/>
      <c r="E158" s="214">
        <v>44075</v>
      </c>
      <c r="F158" s="214" t="s">
        <v>187</v>
      </c>
      <c r="G158" s="215" t="s">
        <v>68</v>
      </c>
      <c r="H158" s="240">
        <f t="shared" si="91"/>
        <v>4.75E-4</v>
      </c>
      <c r="I158" s="230">
        <f>(SUM('1.  LRAMVA Summary'!D$54:D$80)+SUM('1.  LRAMVA Summary'!D$81:D$82)*(MONTH($E158)-1)/12)*$H158</f>
        <v>189.35839915598848</v>
      </c>
      <c r="J158" s="230">
        <f>(SUM('1.  LRAMVA Summary'!E$54:E$80)+SUM('1.  LRAMVA Summary'!E$81:E$82)*(MONTH($E158)-1)/12)*$H158</f>
        <v>103.57466910352959</v>
      </c>
      <c r="K158" s="230">
        <f>(SUM('1.  LRAMVA Summary'!F$54:F$80)+SUM('1.  LRAMVA Summary'!F$81:F$82)*(MONTH($E158)-1)/12)*$H158</f>
        <v>420.3501179230143</v>
      </c>
      <c r="L158" s="230">
        <f>(SUM('1.  LRAMVA Summary'!G$54:G$80)+SUM('1.  LRAMVA Summary'!G$81:G$82)*(MONTH($E158)-1)/12)*$H158</f>
        <v>66.220692510305483</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779.50387869283782</v>
      </c>
    </row>
    <row r="159" spans="2:23" s="9" customFormat="1">
      <c r="B159" s="66"/>
      <c r="E159" s="214">
        <v>44105</v>
      </c>
      <c r="F159" s="214" t="s">
        <v>187</v>
      </c>
      <c r="G159" s="215" t="s">
        <v>69</v>
      </c>
      <c r="H159" s="240">
        <f>$C$54/12</f>
        <v>4.75E-4</v>
      </c>
      <c r="I159" s="230">
        <f>(SUM('1.  LRAMVA Summary'!D$54:D$80)+SUM('1.  LRAMVA Summary'!D$81:D$82)*(MONTH($E159)-1)/12)*$H159</f>
        <v>189.35839915598848</v>
      </c>
      <c r="J159" s="230">
        <f>(SUM('1.  LRAMVA Summary'!E$54:E$80)+SUM('1.  LRAMVA Summary'!E$81:E$82)*(MONTH($E159)-1)/12)*$H159</f>
        <v>103.57466910352959</v>
      </c>
      <c r="K159" s="230">
        <f>(SUM('1.  LRAMVA Summary'!F$54:F$80)+SUM('1.  LRAMVA Summary'!F$81:F$82)*(MONTH($E159)-1)/12)*$H159</f>
        <v>420.3501179230143</v>
      </c>
      <c r="L159" s="230">
        <f>(SUM('1.  LRAMVA Summary'!G$54:G$80)+SUM('1.  LRAMVA Summary'!G$81:G$82)*(MONTH($E159)-1)/12)*$H159</f>
        <v>66.220692510305483</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779.50387869283782</v>
      </c>
    </row>
    <row r="160" spans="2:23" s="9" customFormat="1">
      <c r="B160" s="66"/>
      <c r="E160" s="214">
        <v>44136</v>
      </c>
      <c r="F160" s="214" t="s">
        <v>187</v>
      </c>
      <c r="G160" s="215" t="s">
        <v>69</v>
      </c>
      <c r="H160" s="240">
        <f t="shared" ref="H160:H161" si="92">$C$54/12</f>
        <v>4.75E-4</v>
      </c>
      <c r="I160" s="230">
        <f>(SUM('1.  LRAMVA Summary'!D$54:D$80)+SUM('1.  LRAMVA Summary'!D$81:D$82)*(MONTH($E160)-1)/12)*$H160</f>
        <v>189.35839915598848</v>
      </c>
      <c r="J160" s="230">
        <f>(SUM('1.  LRAMVA Summary'!E$54:E$80)+SUM('1.  LRAMVA Summary'!E$81:E$82)*(MONTH($E160)-1)/12)*$H160</f>
        <v>103.57466910352959</v>
      </c>
      <c r="K160" s="230">
        <f>(SUM('1.  LRAMVA Summary'!F$54:F$80)+SUM('1.  LRAMVA Summary'!F$81:F$82)*(MONTH($E160)-1)/12)*$H160</f>
        <v>420.3501179230143</v>
      </c>
      <c r="L160" s="230">
        <f>(SUM('1.  LRAMVA Summary'!G$54:G$80)+SUM('1.  LRAMVA Summary'!G$81:G$82)*(MONTH($E160)-1)/12)*$H160</f>
        <v>66.220692510305483</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779.50387869283782</v>
      </c>
    </row>
    <row r="161" spans="2:23" s="9" customFormat="1">
      <c r="B161" s="66"/>
      <c r="E161" s="214">
        <v>44166</v>
      </c>
      <c r="F161" s="214" t="s">
        <v>187</v>
      </c>
      <c r="G161" s="215" t="s">
        <v>69</v>
      </c>
      <c r="H161" s="240">
        <f t="shared" si="92"/>
        <v>4.75E-4</v>
      </c>
      <c r="I161" s="230">
        <f>(SUM('1.  LRAMVA Summary'!D$54:D$80)+SUM('1.  LRAMVA Summary'!D$81:D$82)*(MONTH($E161)-1)/12)*$H161</f>
        <v>189.35839915598848</v>
      </c>
      <c r="J161" s="230">
        <f>(SUM('1.  LRAMVA Summary'!E$54:E$80)+SUM('1.  LRAMVA Summary'!E$81:E$82)*(MONTH($E161)-1)/12)*$H161</f>
        <v>103.57466910352959</v>
      </c>
      <c r="K161" s="230">
        <f>(SUM('1.  LRAMVA Summary'!F$54:F$80)+SUM('1.  LRAMVA Summary'!F$81:F$82)*(MONTH($E161)-1)/12)*$H161</f>
        <v>420.3501179230143</v>
      </c>
      <c r="L161" s="230">
        <f>(SUM('1.  LRAMVA Summary'!G$54:G$80)+SUM('1.  LRAMVA Summary'!G$81:G$82)*(MONTH($E161)-1)/12)*$H161</f>
        <v>66.220692510305483</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779.50387869283782</v>
      </c>
    </row>
    <row r="162" spans="2:23" s="9" customFormat="1" ht="15.75" thickBot="1">
      <c r="B162" s="66"/>
      <c r="E162" s="216" t="s">
        <v>470</v>
      </c>
      <c r="F162" s="216"/>
      <c r="G162" s="217"/>
      <c r="H162" s="218"/>
      <c r="I162" s="219">
        <f>SUM(I149:I161)</f>
        <v>22142.178120265889</v>
      </c>
      <c r="J162" s="219">
        <f>SUM(J149:J161)</f>
        <v>11340.427046743205</v>
      </c>
      <c r="K162" s="219">
        <f t="shared" ref="K162:O162" si="93">SUM(K149:K161)</f>
        <v>46490.575268262794</v>
      </c>
      <c r="L162" s="219">
        <f t="shared" si="93"/>
        <v>6806.4990068850875</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86779.679442156921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700</v>
      </c>
      <c r="F164" s="225"/>
      <c r="G164" s="226"/>
      <c r="H164" s="227"/>
      <c r="I164" s="228">
        <f>I162+I163</f>
        <v>22142.178120265889</v>
      </c>
      <c r="J164" s="228">
        <f t="shared" ref="J164:U164" si="95">J162+J163</f>
        <v>11340.427046743205</v>
      </c>
      <c r="K164" s="228">
        <f t="shared" si="95"/>
        <v>46490.575268262794</v>
      </c>
      <c r="L164" s="228">
        <f t="shared" si="95"/>
        <v>6806.4990068850875</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86779.679442156921</v>
      </c>
    </row>
    <row r="165" spans="2:23">
      <c r="E165" s="214">
        <v>44197</v>
      </c>
      <c r="F165" s="214" t="s">
        <v>706</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706</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706</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706</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706</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706</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706</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706</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706</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706</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706</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706</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701</v>
      </c>
      <c r="F177" s="216"/>
      <c r="G177" s="217"/>
      <c r="H177" s="218"/>
      <c r="I177" s="219">
        <f>SUM(I164:I176)</f>
        <v>22142.178120265889</v>
      </c>
      <c r="J177" s="219">
        <f>SUM(J164:J176)</f>
        <v>11340.427046743205</v>
      </c>
      <c r="K177" s="219">
        <f t="shared" ref="K177:V177" si="97">SUM(K164:K176)</f>
        <v>46490.575268262794</v>
      </c>
      <c r="L177" s="219">
        <f t="shared" si="97"/>
        <v>6806.4990068850875</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86779.679442156921</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702</v>
      </c>
      <c r="F179" s="225"/>
      <c r="G179" s="226"/>
      <c r="H179" s="227"/>
      <c r="I179" s="228">
        <f>I177+I178</f>
        <v>22142.178120265889</v>
      </c>
      <c r="J179" s="228">
        <f t="shared" ref="J179:U179" si="98">J177+J178</f>
        <v>11340.427046743205</v>
      </c>
      <c r="K179" s="228">
        <f t="shared" si="98"/>
        <v>46490.575268262794</v>
      </c>
      <c r="L179" s="228">
        <f t="shared" si="98"/>
        <v>6806.4990068850875</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86779.679442156921</v>
      </c>
    </row>
    <row r="180" spans="5:23">
      <c r="E180" s="214">
        <v>44562</v>
      </c>
      <c r="F180" s="214" t="s">
        <v>707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707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707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707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707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707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707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707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707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707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707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703</v>
      </c>
      <c r="F192" s="216"/>
      <c r="G192" s="217"/>
      <c r="H192" s="218"/>
      <c r="I192" s="219">
        <f>SUM(I179:I191)</f>
        <v>22142.178120265889</v>
      </c>
      <c r="J192" s="219">
        <f>SUM(J179:J191)</f>
        <v>11340.427046743205</v>
      </c>
      <c r="K192" s="219">
        <f t="shared" ref="K192:V192" si="100">SUM(K179:K191)</f>
        <v>46490.575268262794</v>
      </c>
      <c r="L192" s="219">
        <f t="shared" si="100"/>
        <v>6806.4990068850875</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86779.679442156921</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704</v>
      </c>
      <c r="F194" s="225"/>
      <c r="G194" s="226"/>
      <c r="H194" s="227"/>
      <c r="I194" s="228">
        <f>I192+I193</f>
        <v>22142.178120265889</v>
      </c>
      <c r="J194" s="228">
        <f t="shared" ref="J194:U194" si="101">J192+J193</f>
        <v>11340.427046743205</v>
      </c>
      <c r="K194" s="228">
        <f t="shared" si="101"/>
        <v>46490.575268262794</v>
      </c>
      <c r="L194" s="228">
        <f t="shared" si="101"/>
        <v>6806.4990068850875</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86779.679442156921</v>
      </c>
    </row>
    <row r="195" spans="5:23">
      <c r="E195" s="214">
        <v>44927</v>
      </c>
      <c r="F195" s="214" t="s">
        <v>708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708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708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708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708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708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708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708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708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708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708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705</v>
      </c>
      <c r="F207" s="216"/>
      <c r="G207" s="217"/>
      <c r="H207" s="218"/>
      <c r="I207" s="219">
        <f>SUM(I194:I206)</f>
        <v>22142.178120265889</v>
      </c>
      <c r="J207" s="219">
        <f>SUM(J194:J206)</f>
        <v>11340.427046743205</v>
      </c>
      <c r="K207" s="219">
        <f t="shared" ref="K207:V207" si="103">SUM(K194:K206)</f>
        <v>46490.575268262794</v>
      </c>
      <c r="L207" s="219">
        <f t="shared" si="103"/>
        <v>6806.4990068850875</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86779.679442156921</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723</v>
      </c>
      <c r="F209" s="225"/>
      <c r="G209" s="226"/>
      <c r="H209" s="227"/>
      <c r="I209" s="228">
        <f>I207+I208</f>
        <v>22142.178120265889</v>
      </c>
      <c r="J209" s="228">
        <f t="shared" ref="J209:U209" si="104">J207+J208</f>
        <v>11340.427046743205</v>
      </c>
      <c r="K209" s="228">
        <f t="shared" si="104"/>
        <v>46490.575268262794</v>
      </c>
      <c r="L209" s="228">
        <f t="shared" si="104"/>
        <v>6806.4990068850875</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86779.679442156921</v>
      </c>
    </row>
    <row r="210" spans="5:23">
      <c r="E210" s="214">
        <v>45292</v>
      </c>
      <c r="F210" s="214" t="s">
        <v>727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727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727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727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727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727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727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727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727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727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727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725</v>
      </c>
      <c r="F222" s="216"/>
      <c r="G222" s="217"/>
      <c r="H222" s="218"/>
      <c r="I222" s="219">
        <f>SUM(I209:I221)</f>
        <v>22142.178120265889</v>
      </c>
      <c r="J222" s="219">
        <f>SUM(J209:J221)</f>
        <v>11340.427046743205</v>
      </c>
      <c r="K222" s="219">
        <f t="shared" ref="K222:V222" si="106">SUM(K209:K221)</f>
        <v>46490.575268262794</v>
      </c>
      <c r="L222" s="219">
        <f t="shared" si="106"/>
        <v>6806.4990068850875</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86779.679442156921</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724</v>
      </c>
      <c r="F224" s="225"/>
      <c r="G224" s="226"/>
      <c r="H224" s="227"/>
      <c r="I224" s="228">
        <f>I222+I223</f>
        <v>22142.178120265889</v>
      </c>
      <c r="J224" s="228">
        <f t="shared" ref="J224:U224" si="107">J222+J223</f>
        <v>11340.427046743205</v>
      </c>
      <c r="K224" s="228">
        <f t="shared" si="107"/>
        <v>46490.575268262794</v>
      </c>
      <c r="L224" s="228">
        <f t="shared" si="107"/>
        <v>6806.4990068850875</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86779.679442156921</v>
      </c>
    </row>
    <row r="225" spans="5:23">
      <c r="E225" s="214">
        <v>45658</v>
      </c>
      <c r="F225" s="214" t="s">
        <v>728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728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728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728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728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728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728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728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728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728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728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726</v>
      </c>
      <c r="F237" s="216"/>
      <c r="G237" s="217"/>
      <c r="H237" s="218"/>
      <c r="I237" s="219">
        <f>SUM(I224:I236)</f>
        <v>22142.178120265889</v>
      </c>
      <c r="J237" s="219">
        <f>SUM(J224:J236)</f>
        <v>11340.427046743205</v>
      </c>
      <c r="K237" s="219">
        <f t="shared" ref="K237:U237" si="109">SUM(K224:K236)</f>
        <v>46490.575268262794</v>
      </c>
      <c r="L237" s="219">
        <f t="shared" si="109"/>
        <v>6806.4990068850875</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86779.679442156921</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24" right="0.12" top="0.28999999999999998" bottom="0.19" header="0.25" footer="7.0000000000000007E-2"/>
  <pageSetup scale="56" fitToHeight="0"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pageSetUpPr fitToPage="1"/>
  </sheetPr>
  <dimension ref="A1:BU258"/>
  <sheetViews>
    <sheetView topLeftCell="A22" zoomScale="90" zoomScaleNormal="90" workbookViewId="0">
      <pane xSplit="9" ySplit="5" topLeftCell="BP197" activePane="bottomRight" state="frozen"/>
      <selection activeCell="A22" sqref="A22"/>
      <selection pane="topRight" activeCell="J22" sqref="J22"/>
      <selection pane="bottomLeft" activeCell="A27" sqref="A27"/>
      <selection pane="bottomRight" activeCell="A22" sqref="A1:XFD1048576"/>
    </sheetView>
  </sheetViews>
  <sheetFormatPr defaultColWidth="9" defaultRowHeight="15" outlineLevelRow="1" outlineLevelCol="1"/>
  <cols>
    <col min="1" max="1" width="6" style="12" customWidth="1"/>
    <col min="2" max="2" width="8" style="12" customWidth="1"/>
    <col min="3" max="3" width="11.42578125" style="12" customWidth="1"/>
    <col min="4" max="4" width="50.42578125" style="12" customWidth="1"/>
    <col min="5" max="5" width="8.5703125" style="12" hidden="1" customWidth="1" outlineLevel="1"/>
    <col min="6" max="6" width="10.5703125" style="12" hidden="1" customWidth="1" outlineLevel="1"/>
    <col min="7" max="7" width="7.42578125" style="12" hidden="1" customWidth="1" outlineLevel="1"/>
    <col min="8" max="8" width="14.85546875" style="11" customWidth="1" collapsed="1"/>
    <col min="9" max="9" width="30.42578125" style="630" customWidth="1"/>
    <col min="10" max="10" width="23" style="630" customWidth="1"/>
    <col min="11" max="11" width="2" style="16" customWidth="1"/>
    <col min="12" max="12" width="9" style="12"/>
    <col min="13" max="15" width="9" style="12" customWidth="1"/>
    <col min="16" max="41" width="9" style="12"/>
    <col min="42" max="42" width="2" style="12" customWidth="1"/>
    <col min="43" max="43" width="6.85546875" style="12" customWidth="1"/>
    <col min="44" max="46" width="12" style="12" hidden="1" customWidth="1" outlineLevel="1"/>
    <col min="47" max="47" width="12" style="12" bestFit="1" customWidth="1" collapsed="1"/>
    <col min="48" max="50" width="12" style="12" bestFit="1" customWidth="1"/>
    <col min="51" max="51" width="13.140625" style="12" customWidth="1"/>
    <col min="52" max="55" width="14.42578125" style="12" customWidth="1"/>
    <col min="56" max="64" width="12" style="12" bestFit="1" customWidth="1"/>
    <col min="65" max="68" width="11.42578125" style="12" customWidth="1"/>
    <col min="69"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19" t="s">
        <v>171</v>
      </c>
      <c r="D12" s="126" t="s">
        <v>175</v>
      </c>
      <c r="E12" s="17"/>
      <c r="F12" s="177"/>
      <c r="G12" s="178"/>
      <c r="H12" s="884"/>
      <c r="K12" s="179"/>
      <c r="L12" s="177"/>
      <c r="M12" s="177"/>
      <c r="N12" s="177"/>
      <c r="O12" s="177"/>
      <c r="P12" s="177"/>
      <c r="Q12" s="180"/>
    </row>
    <row r="13" spans="2:73" s="9" customFormat="1" ht="25.5" hidden="1" customHeight="1" outlineLevel="1" thickBot="1">
      <c r="B13" s="546"/>
      <c r="D13" s="632" t="s">
        <v>406</v>
      </c>
      <c r="E13" s="17"/>
      <c r="F13" s="177"/>
      <c r="G13" s="178"/>
      <c r="H13" s="884"/>
      <c r="K13" s="179"/>
      <c r="L13" s="177"/>
      <c r="M13" s="177"/>
      <c r="N13" s="177"/>
      <c r="O13" s="177"/>
      <c r="P13" s="177"/>
      <c r="Q13" s="180"/>
    </row>
    <row r="14" spans="2:73" ht="30" hidden="1" customHeight="1" outlineLevel="1" thickBot="1">
      <c r="B14" s="90"/>
      <c r="D14" s="605" t="s">
        <v>551</v>
      </c>
      <c r="I14" s="12"/>
      <c r="J14" s="12"/>
      <c r="BU14" s="12"/>
    </row>
    <row r="15" spans="2:73" ht="26.25" hidden="1" customHeight="1" outlineLevel="1">
      <c r="C15" s="90"/>
      <c r="I15" s="12"/>
      <c r="J15" s="12"/>
    </row>
    <row r="16" spans="2:73" ht="23.25" hidden="1" customHeight="1" outlineLevel="1">
      <c r="B16" s="116" t="s">
        <v>505</v>
      </c>
      <c r="C16" s="90"/>
      <c r="D16" s="610" t="s">
        <v>609</v>
      </c>
      <c r="E16" s="600"/>
      <c r="F16" s="600"/>
      <c r="G16" s="611"/>
      <c r="H16" s="885"/>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hidden="1" customHeight="1" outlineLevel="1">
      <c r="B17" s="685" t="s">
        <v>603</v>
      </c>
      <c r="C17" s="90"/>
      <c r="D17" s="606" t="s">
        <v>581</v>
      </c>
      <c r="E17" s="600"/>
      <c r="F17" s="600"/>
      <c r="G17" s="611"/>
      <c r="H17" s="885"/>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hidden="1" customHeight="1" outlineLevel="1">
      <c r="C18" s="90"/>
      <c r="D18" s="606" t="s">
        <v>616</v>
      </c>
      <c r="E18" s="600"/>
      <c r="F18" s="600"/>
      <c r="G18" s="611"/>
      <c r="H18" s="885"/>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hidden="1" customHeight="1" outlineLevel="1">
      <c r="C19" s="90"/>
      <c r="D19" s="606" t="s">
        <v>615</v>
      </c>
      <c r="E19" s="600"/>
      <c r="F19" s="600"/>
      <c r="G19" s="611"/>
      <c r="H19" s="885"/>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hidden="1" customHeight="1" outlineLevel="1">
      <c r="C20" s="90"/>
      <c r="D20" s="606" t="s">
        <v>617</v>
      </c>
      <c r="E20" s="600"/>
      <c r="F20" s="600"/>
      <c r="G20" s="611"/>
      <c r="H20" s="885"/>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hidden="1" customHeight="1" outlineLevel="1">
      <c r="C21" s="90"/>
      <c r="D21" s="697" t="s">
        <v>627</v>
      </c>
      <c r="E21" s="600"/>
      <c r="F21" s="600"/>
      <c r="G21" s="611"/>
      <c r="H21" s="885"/>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ollapsed="1">
      <c r="I22" s="12"/>
      <c r="J22" s="12"/>
    </row>
    <row r="23" spans="2:73" ht="15.75">
      <c r="B23" s="182" t="s">
        <v>586</v>
      </c>
      <c r="I23" s="10"/>
      <c r="J23" s="10"/>
    </row>
    <row r="24" spans="2:73" s="665" customFormat="1" ht="21" customHeight="1">
      <c r="B24" s="696" t="s">
        <v>590</v>
      </c>
      <c r="C24" s="1212" t="s">
        <v>591</v>
      </c>
      <c r="D24" s="1212"/>
      <c r="E24" s="1212"/>
      <c r="F24" s="1212"/>
      <c r="G24" s="1212"/>
      <c r="H24" s="886" t="s">
        <v>588</v>
      </c>
      <c r="I24" s="673" t="s">
        <v>587</v>
      </c>
      <c r="J24" s="673" t="s">
        <v>589</v>
      </c>
      <c r="K24" s="664"/>
      <c r="L24" s="665" t="s">
        <v>591</v>
      </c>
      <c r="AQ24" s="665" t="s">
        <v>591</v>
      </c>
      <c r="BU24" s="664"/>
    </row>
    <row r="25" spans="2:73" s="250" customFormat="1" ht="49.5" customHeight="1">
      <c r="B25" s="245" t="s">
        <v>473</v>
      </c>
      <c r="C25" s="245" t="s">
        <v>211</v>
      </c>
      <c r="D25" s="623" t="s">
        <v>474</v>
      </c>
      <c r="E25" s="245" t="s">
        <v>208</v>
      </c>
      <c r="F25" s="245" t="s">
        <v>475</v>
      </c>
      <c r="G25" s="245" t="s">
        <v>476</v>
      </c>
      <c r="H25" s="887" t="s">
        <v>477</v>
      </c>
      <c r="I25" s="631" t="s">
        <v>579</v>
      </c>
      <c r="J25" s="638" t="s">
        <v>580</v>
      </c>
      <c r="K25" s="636"/>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5" customHeight="1">
      <c r="B26" s="251"/>
      <c r="C26" s="251"/>
      <c r="D26" s="251"/>
      <c r="E26" s="251"/>
      <c r="F26" s="251"/>
      <c r="G26" s="251"/>
      <c r="H26" s="888"/>
      <c r="I26" s="629"/>
      <c r="J26" s="629"/>
      <c r="K26" s="63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outlineLevel="1">
      <c r="B27" s="752" t="s">
        <v>730</v>
      </c>
      <c r="C27" s="752" t="s">
        <v>731</v>
      </c>
      <c r="D27" s="752" t="s">
        <v>732</v>
      </c>
      <c r="E27" s="752" t="s">
        <v>733</v>
      </c>
      <c r="F27" s="752" t="s">
        <v>29</v>
      </c>
      <c r="G27" s="752" t="s">
        <v>734</v>
      </c>
      <c r="H27" s="752">
        <v>2007</v>
      </c>
      <c r="I27" s="639" t="s">
        <v>569</v>
      </c>
      <c r="J27" s="639" t="s">
        <v>578</v>
      </c>
      <c r="K27" s="628"/>
      <c r="L27" s="690">
        <v>0</v>
      </c>
      <c r="M27" s="691">
        <v>0</v>
      </c>
      <c r="N27" s="691">
        <v>6.4899100000000001</v>
      </c>
      <c r="O27" s="691">
        <v>0</v>
      </c>
      <c r="P27" s="691">
        <v>0</v>
      </c>
      <c r="Q27" s="691">
        <v>0</v>
      </c>
      <c r="R27" s="691">
        <v>0</v>
      </c>
      <c r="S27" s="691">
        <v>0</v>
      </c>
      <c r="T27" s="691">
        <v>0</v>
      </c>
      <c r="U27" s="691">
        <v>0</v>
      </c>
      <c r="V27" s="691">
        <v>0</v>
      </c>
      <c r="W27" s="691">
        <v>0</v>
      </c>
      <c r="X27" s="691">
        <v>0</v>
      </c>
      <c r="Y27" s="691">
        <v>0</v>
      </c>
      <c r="Z27" s="691">
        <v>0</v>
      </c>
      <c r="AA27" s="691">
        <v>0</v>
      </c>
      <c r="AB27" s="691">
        <v>0</v>
      </c>
      <c r="AC27" s="691">
        <v>0</v>
      </c>
      <c r="AD27" s="691">
        <v>0</v>
      </c>
      <c r="AE27" s="691">
        <v>0</v>
      </c>
      <c r="AF27" s="691">
        <v>0</v>
      </c>
      <c r="AG27" s="691">
        <v>0</v>
      </c>
      <c r="AH27" s="691">
        <v>0</v>
      </c>
      <c r="AI27" s="691">
        <v>0</v>
      </c>
      <c r="AJ27" s="691">
        <v>0</v>
      </c>
      <c r="AK27" s="691">
        <v>0</v>
      </c>
      <c r="AL27" s="691">
        <v>0</v>
      </c>
      <c r="AM27" s="691">
        <v>0</v>
      </c>
      <c r="AN27" s="691">
        <v>0</v>
      </c>
      <c r="AO27" s="692">
        <v>0</v>
      </c>
      <c r="AP27" s="628"/>
      <c r="AQ27" s="690">
        <v>0</v>
      </c>
      <c r="AR27" s="691">
        <v>0</v>
      </c>
      <c r="AS27" s="691">
        <v>28.215949999999999</v>
      </c>
      <c r="AT27" s="691">
        <v>0</v>
      </c>
      <c r="AU27" s="691">
        <v>0</v>
      </c>
      <c r="AV27" s="691">
        <v>0</v>
      </c>
      <c r="AW27" s="691">
        <v>0</v>
      </c>
      <c r="AX27" s="691">
        <v>0</v>
      </c>
      <c r="AY27" s="691">
        <v>0</v>
      </c>
      <c r="AZ27" s="691">
        <v>0</v>
      </c>
      <c r="BA27" s="691">
        <v>0</v>
      </c>
      <c r="BB27" s="691">
        <v>0</v>
      </c>
      <c r="BC27" s="691">
        <v>0</v>
      </c>
      <c r="BD27" s="691">
        <v>0</v>
      </c>
      <c r="BE27" s="691">
        <v>0</v>
      </c>
      <c r="BF27" s="691">
        <v>0</v>
      </c>
      <c r="BG27" s="691">
        <v>0</v>
      </c>
      <c r="BH27" s="691">
        <v>0</v>
      </c>
      <c r="BI27" s="691">
        <v>0</v>
      </c>
      <c r="BJ27" s="691">
        <v>0</v>
      </c>
      <c r="BK27" s="691">
        <v>0</v>
      </c>
      <c r="BL27" s="691">
        <v>0</v>
      </c>
      <c r="BM27" s="691">
        <v>0</v>
      </c>
      <c r="BN27" s="691">
        <v>0</v>
      </c>
      <c r="BO27" s="691">
        <v>0</v>
      </c>
      <c r="BP27" s="691">
        <v>0</v>
      </c>
      <c r="BQ27" s="691">
        <v>0</v>
      </c>
      <c r="BR27" s="691">
        <v>0</v>
      </c>
      <c r="BS27" s="691">
        <v>0</v>
      </c>
      <c r="BT27" s="692">
        <v>0</v>
      </c>
      <c r="BU27" s="16"/>
    </row>
    <row r="28" spans="2:73" s="17" customFormat="1" ht="15.75" hidden="1" outlineLevel="1">
      <c r="B28" s="752" t="s">
        <v>730</v>
      </c>
      <c r="C28" s="752" t="s">
        <v>731</v>
      </c>
      <c r="D28" s="752" t="s">
        <v>732</v>
      </c>
      <c r="E28" s="752" t="s">
        <v>733</v>
      </c>
      <c r="F28" s="752" t="s">
        <v>29</v>
      </c>
      <c r="G28" s="752" t="s">
        <v>734</v>
      </c>
      <c r="H28" s="752">
        <v>2007</v>
      </c>
      <c r="I28" s="639" t="s">
        <v>569</v>
      </c>
      <c r="J28" s="639" t="s">
        <v>578</v>
      </c>
      <c r="K28" s="628"/>
      <c r="L28" s="690">
        <v>0</v>
      </c>
      <c r="M28" s="691">
        <v>0</v>
      </c>
      <c r="N28" s="691">
        <v>9.0926880000000008</v>
      </c>
      <c r="O28" s="691">
        <v>0</v>
      </c>
      <c r="P28" s="691">
        <v>0</v>
      </c>
      <c r="Q28" s="691">
        <v>0</v>
      </c>
      <c r="R28" s="691">
        <v>0</v>
      </c>
      <c r="S28" s="691">
        <v>0</v>
      </c>
      <c r="T28" s="691">
        <v>0</v>
      </c>
      <c r="U28" s="691">
        <v>0</v>
      </c>
      <c r="V28" s="691">
        <v>0</v>
      </c>
      <c r="W28" s="691">
        <v>0</v>
      </c>
      <c r="X28" s="691">
        <v>0</v>
      </c>
      <c r="Y28" s="691">
        <v>0</v>
      </c>
      <c r="Z28" s="691">
        <v>0</v>
      </c>
      <c r="AA28" s="691">
        <v>0</v>
      </c>
      <c r="AB28" s="691">
        <v>0</v>
      </c>
      <c r="AC28" s="691">
        <v>0</v>
      </c>
      <c r="AD28" s="691">
        <v>0</v>
      </c>
      <c r="AE28" s="691">
        <v>0</v>
      </c>
      <c r="AF28" s="691">
        <v>0</v>
      </c>
      <c r="AG28" s="691">
        <v>0</v>
      </c>
      <c r="AH28" s="691">
        <v>0</v>
      </c>
      <c r="AI28" s="691">
        <v>0</v>
      </c>
      <c r="AJ28" s="691">
        <v>0</v>
      </c>
      <c r="AK28" s="691">
        <v>0</v>
      </c>
      <c r="AL28" s="691">
        <v>0</v>
      </c>
      <c r="AM28" s="691">
        <v>0</v>
      </c>
      <c r="AN28" s="691">
        <v>0</v>
      </c>
      <c r="AO28" s="692">
        <v>0</v>
      </c>
      <c r="AP28" s="628"/>
      <c r="AQ28" s="690">
        <v>0</v>
      </c>
      <c r="AR28" s="691">
        <v>0</v>
      </c>
      <c r="AS28" s="691">
        <v>39.695509999999999</v>
      </c>
      <c r="AT28" s="691">
        <v>0</v>
      </c>
      <c r="AU28" s="691">
        <v>0</v>
      </c>
      <c r="AV28" s="691">
        <v>0</v>
      </c>
      <c r="AW28" s="691">
        <v>0</v>
      </c>
      <c r="AX28" s="691">
        <v>0</v>
      </c>
      <c r="AY28" s="691">
        <v>0</v>
      </c>
      <c r="AZ28" s="691">
        <v>0</v>
      </c>
      <c r="BA28" s="691">
        <v>0</v>
      </c>
      <c r="BB28" s="691">
        <v>0</v>
      </c>
      <c r="BC28" s="691">
        <v>0</v>
      </c>
      <c r="BD28" s="691">
        <v>0</v>
      </c>
      <c r="BE28" s="691">
        <v>0</v>
      </c>
      <c r="BF28" s="691">
        <v>0</v>
      </c>
      <c r="BG28" s="691">
        <v>0</v>
      </c>
      <c r="BH28" s="691">
        <v>0</v>
      </c>
      <c r="BI28" s="691">
        <v>0</v>
      </c>
      <c r="BJ28" s="691">
        <v>0</v>
      </c>
      <c r="BK28" s="691">
        <v>0</v>
      </c>
      <c r="BL28" s="691">
        <v>0</v>
      </c>
      <c r="BM28" s="691">
        <v>0</v>
      </c>
      <c r="BN28" s="691">
        <v>0</v>
      </c>
      <c r="BO28" s="691">
        <v>0</v>
      </c>
      <c r="BP28" s="691">
        <v>0</v>
      </c>
      <c r="BQ28" s="691">
        <v>0</v>
      </c>
      <c r="BR28" s="691">
        <v>0</v>
      </c>
      <c r="BS28" s="691">
        <v>0</v>
      </c>
      <c r="BT28" s="692">
        <v>0</v>
      </c>
      <c r="BU28" s="16"/>
    </row>
    <row r="29" spans="2:73" s="17" customFormat="1" ht="16.5" hidden="1" customHeight="1" outlineLevel="1">
      <c r="B29" s="752" t="s">
        <v>730</v>
      </c>
      <c r="C29" s="752" t="s">
        <v>731</v>
      </c>
      <c r="D29" s="752" t="s">
        <v>42</v>
      </c>
      <c r="E29" s="752" t="s">
        <v>733</v>
      </c>
      <c r="F29" s="752" t="s">
        <v>29</v>
      </c>
      <c r="G29" s="752" t="s">
        <v>734</v>
      </c>
      <c r="H29" s="752">
        <v>2007</v>
      </c>
      <c r="I29" s="639" t="s">
        <v>570</v>
      </c>
      <c r="J29" s="639" t="s">
        <v>578</v>
      </c>
      <c r="K29" s="628"/>
      <c r="L29" s="690">
        <v>0</v>
      </c>
      <c r="M29" s="691">
        <v>0</v>
      </c>
      <c r="N29" s="691">
        <v>0</v>
      </c>
      <c r="O29" s="691">
        <v>6.6754360000000004</v>
      </c>
      <c r="P29" s="691">
        <v>0</v>
      </c>
      <c r="Q29" s="691">
        <v>0</v>
      </c>
      <c r="R29" s="691">
        <v>0</v>
      </c>
      <c r="S29" s="691">
        <v>0</v>
      </c>
      <c r="T29" s="691">
        <v>0</v>
      </c>
      <c r="U29" s="691">
        <v>0</v>
      </c>
      <c r="V29" s="691">
        <v>0</v>
      </c>
      <c r="W29" s="691">
        <v>0</v>
      </c>
      <c r="X29" s="691">
        <v>0</v>
      </c>
      <c r="Y29" s="691">
        <v>0</v>
      </c>
      <c r="Z29" s="691">
        <v>0</v>
      </c>
      <c r="AA29" s="691">
        <v>0</v>
      </c>
      <c r="AB29" s="691">
        <v>0</v>
      </c>
      <c r="AC29" s="691">
        <v>0</v>
      </c>
      <c r="AD29" s="691">
        <v>0</v>
      </c>
      <c r="AE29" s="691">
        <v>0</v>
      </c>
      <c r="AF29" s="691">
        <v>0</v>
      </c>
      <c r="AG29" s="691">
        <v>0</v>
      </c>
      <c r="AH29" s="691">
        <v>0</v>
      </c>
      <c r="AI29" s="691">
        <v>0</v>
      </c>
      <c r="AJ29" s="691">
        <v>0</v>
      </c>
      <c r="AK29" s="691">
        <v>0</v>
      </c>
      <c r="AL29" s="691">
        <v>0</v>
      </c>
      <c r="AM29" s="691">
        <v>0</v>
      </c>
      <c r="AN29" s="691">
        <v>0</v>
      </c>
      <c r="AO29" s="692">
        <v>0</v>
      </c>
      <c r="AP29" s="628"/>
      <c r="AQ29" s="690">
        <v>0</v>
      </c>
      <c r="AR29" s="691">
        <v>0</v>
      </c>
      <c r="AS29" s="691">
        <v>0</v>
      </c>
      <c r="AT29" s="691">
        <v>0</v>
      </c>
      <c r="AU29" s="691">
        <v>0</v>
      </c>
      <c r="AV29" s="691">
        <v>0</v>
      </c>
      <c r="AW29" s="691">
        <v>0</v>
      </c>
      <c r="AX29" s="691">
        <v>0</v>
      </c>
      <c r="AY29" s="691">
        <v>0</v>
      </c>
      <c r="AZ29" s="691">
        <v>0</v>
      </c>
      <c r="BA29" s="691">
        <v>0</v>
      </c>
      <c r="BB29" s="691">
        <v>0</v>
      </c>
      <c r="BC29" s="691">
        <v>0</v>
      </c>
      <c r="BD29" s="691">
        <v>0</v>
      </c>
      <c r="BE29" s="691">
        <v>0</v>
      </c>
      <c r="BF29" s="691">
        <v>0</v>
      </c>
      <c r="BG29" s="691">
        <v>0</v>
      </c>
      <c r="BH29" s="691">
        <v>0</v>
      </c>
      <c r="BI29" s="691">
        <v>0</v>
      </c>
      <c r="BJ29" s="691">
        <v>0</v>
      </c>
      <c r="BK29" s="691">
        <v>0</v>
      </c>
      <c r="BL29" s="691">
        <v>0</v>
      </c>
      <c r="BM29" s="691">
        <v>0</v>
      </c>
      <c r="BN29" s="691">
        <v>0</v>
      </c>
      <c r="BO29" s="691">
        <v>0</v>
      </c>
      <c r="BP29" s="691">
        <v>0</v>
      </c>
      <c r="BQ29" s="691">
        <v>0</v>
      </c>
      <c r="BR29" s="691">
        <v>0</v>
      </c>
      <c r="BS29" s="691">
        <v>0</v>
      </c>
      <c r="BT29" s="692">
        <v>0</v>
      </c>
      <c r="BU29" s="16"/>
    </row>
    <row r="30" spans="2:73" s="17" customFormat="1" ht="15.75" hidden="1" outlineLevel="1">
      <c r="B30" s="752" t="s">
        <v>730</v>
      </c>
      <c r="C30" s="752" t="s">
        <v>731</v>
      </c>
      <c r="D30" s="752" t="s">
        <v>42</v>
      </c>
      <c r="E30" s="752" t="s">
        <v>733</v>
      </c>
      <c r="F30" s="752" t="s">
        <v>29</v>
      </c>
      <c r="G30" s="752" t="s">
        <v>734</v>
      </c>
      <c r="H30" s="752">
        <v>2007</v>
      </c>
      <c r="I30" s="639" t="s">
        <v>570</v>
      </c>
      <c r="J30" s="639" t="s">
        <v>578</v>
      </c>
      <c r="K30" s="628"/>
      <c r="L30" s="690">
        <v>0</v>
      </c>
      <c r="M30" s="691">
        <v>0</v>
      </c>
      <c r="N30" s="691">
        <v>0</v>
      </c>
      <c r="O30" s="691">
        <v>8.0807909999999996</v>
      </c>
      <c r="P30" s="691">
        <v>0</v>
      </c>
      <c r="Q30" s="691">
        <v>0</v>
      </c>
      <c r="R30" s="691">
        <v>0</v>
      </c>
      <c r="S30" s="691">
        <v>0</v>
      </c>
      <c r="T30" s="691">
        <v>0</v>
      </c>
      <c r="U30" s="691">
        <v>0</v>
      </c>
      <c r="V30" s="691">
        <v>0</v>
      </c>
      <c r="W30" s="691">
        <v>0</v>
      </c>
      <c r="X30" s="691">
        <v>0</v>
      </c>
      <c r="Y30" s="691">
        <v>0</v>
      </c>
      <c r="Z30" s="691">
        <v>0</v>
      </c>
      <c r="AA30" s="691">
        <v>0</v>
      </c>
      <c r="AB30" s="691">
        <v>0</v>
      </c>
      <c r="AC30" s="691">
        <v>0</v>
      </c>
      <c r="AD30" s="691">
        <v>0</v>
      </c>
      <c r="AE30" s="691">
        <v>0</v>
      </c>
      <c r="AF30" s="691">
        <v>0</v>
      </c>
      <c r="AG30" s="691">
        <v>0</v>
      </c>
      <c r="AH30" s="691">
        <v>0</v>
      </c>
      <c r="AI30" s="691">
        <v>0</v>
      </c>
      <c r="AJ30" s="691">
        <v>0</v>
      </c>
      <c r="AK30" s="691">
        <v>0</v>
      </c>
      <c r="AL30" s="691">
        <v>0</v>
      </c>
      <c r="AM30" s="691">
        <v>0</v>
      </c>
      <c r="AN30" s="691">
        <v>0</v>
      </c>
      <c r="AO30" s="692">
        <v>0</v>
      </c>
      <c r="AP30" s="628"/>
      <c r="AQ30" s="690">
        <v>0</v>
      </c>
      <c r="AR30" s="691">
        <v>0</v>
      </c>
      <c r="AS30" s="691">
        <v>0</v>
      </c>
      <c r="AT30" s="691">
        <v>0</v>
      </c>
      <c r="AU30" s="691">
        <v>0</v>
      </c>
      <c r="AV30" s="691">
        <v>0</v>
      </c>
      <c r="AW30" s="691">
        <v>0</v>
      </c>
      <c r="AX30" s="691">
        <v>0</v>
      </c>
      <c r="AY30" s="691">
        <v>0</v>
      </c>
      <c r="AZ30" s="691">
        <v>0</v>
      </c>
      <c r="BA30" s="691">
        <v>0</v>
      </c>
      <c r="BB30" s="691">
        <v>0</v>
      </c>
      <c r="BC30" s="691">
        <v>0</v>
      </c>
      <c r="BD30" s="691">
        <v>0</v>
      </c>
      <c r="BE30" s="691">
        <v>0</v>
      </c>
      <c r="BF30" s="691">
        <v>0</v>
      </c>
      <c r="BG30" s="691">
        <v>0</v>
      </c>
      <c r="BH30" s="691">
        <v>0</v>
      </c>
      <c r="BI30" s="691">
        <v>0</v>
      </c>
      <c r="BJ30" s="691">
        <v>0</v>
      </c>
      <c r="BK30" s="691">
        <v>0</v>
      </c>
      <c r="BL30" s="691">
        <v>0</v>
      </c>
      <c r="BM30" s="691">
        <v>0</v>
      </c>
      <c r="BN30" s="691">
        <v>0</v>
      </c>
      <c r="BO30" s="691">
        <v>0</v>
      </c>
      <c r="BP30" s="691">
        <v>0</v>
      </c>
      <c r="BQ30" s="691">
        <v>0</v>
      </c>
      <c r="BR30" s="691">
        <v>0</v>
      </c>
      <c r="BS30" s="691">
        <v>0</v>
      </c>
      <c r="BT30" s="692">
        <v>0</v>
      </c>
      <c r="BU30" s="16"/>
    </row>
    <row r="31" spans="2:73" s="17" customFormat="1" ht="15.75" hidden="1" outlineLevel="1">
      <c r="B31" s="752" t="s">
        <v>730</v>
      </c>
      <c r="C31" s="752" t="s">
        <v>731</v>
      </c>
      <c r="D31" s="752" t="s">
        <v>732</v>
      </c>
      <c r="E31" s="752" t="s">
        <v>733</v>
      </c>
      <c r="F31" s="752" t="s">
        <v>29</v>
      </c>
      <c r="G31" s="752" t="s">
        <v>734</v>
      </c>
      <c r="H31" s="752">
        <v>2008</v>
      </c>
      <c r="I31" s="639" t="s">
        <v>569</v>
      </c>
      <c r="J31" s="639" t="s">
        <v>578</v>
      </c>
      <c r="K31" s="628"/>
      <c r="L31" s="690">
        <v>0</v>
      </c>
      <c r="M31" s="691">
        <v>0</v>
      </c>
      <c r="N31" s="691">
        <v>22.85023</v>
      </c>
      <c r="O31" s="691">
        <v>0</v>
      </c>
      <c r="P31" s="691">
        <v>0</v>
      </c>
      <c r="Q31" s="691">
        <v>0</v>
      </c>
      <c r="R31" s="691">
        <v>0</v>
      </c>
      <c r="S31" s="691">
        <v>0</v>
      </c>
      <c r="T31" s="691">
        <v>0</v>
      </c>
      <c r="U31" s="691">
        <v>0</v>
      </c>
      <c r="V31" s="691">
        <v>0</v>
      </c>
      <c r="W31" s="691">
        <v>0</v>
      </c>
      <c r="X31" s="691">
        <v>0</v>
      </c>
      <c r="Y31" s="691">
        <v>0</v>
      </c>
      <c r="Z31" s="691">
        <v>0</v>
      </c>
      <c r="AA31" s="691">
        <v>0</v>
      </c>
      <c r="AB31" s="691">
        <v>0</v>
      </c>
      <c r="AC31" s="691">
        <v>0</v>
      </c>
      <c r="AD31" s="691">
        <v>0</v>
      </c>
      <c r="AE31" s="691">
        <v>0</v>
      </c>
      <c r="AF31" s="691">
        <v>0</v>
      </c>
      <c r="AG31" s="691">
        <v>0</v>
      </c>
      <c r="AH31" s="691">
        <v>0</v>
      </c>
      <c r="AI31" s="691">
        <v>0</v>
      </c>
      <c r="AJ31" s="691">
        <v>0</v>
      </c>
      <c r="AK31" s="691">
        <v>0</v>
      </c>
      <c r="AL31" s="691">
        <v>0</v>
      </c>
      <c r="AM31" s="691">
        <v>0</v>
      </c>
      <c r="AN31" s="691">
        <v>0</v>
      </c>
      <c r="AO31" s="692">
        <v>0</v>
      </c>
      <c r="AP31" s="628"/>
      <c r="AQ31" s="690">
        <v>0</v>
      </c>
      <c r="AR31" s="691">
        <v>0</v>
      </c>
      <c r="AS31" s="691">
        <v>100.3732</v>
      </c>
      <c r="AT31" s="691">
        <v>0</v>
      </c>
      <c r="AU31" s="691">
        <v>0</v>
      </c>
      <c r="AV31" s="691">
        <v>0</v>
      </c>
      <c r="AW31" s="691">
        <v>0</v>
      </c>
      <c r="AX31" s="691">
        <v>0</v>
      </c>
      <c r="AY31" s="691">
        <v>0</v>
      </c>
      <c r="AZ31" s="691">
        <v>0</v>
      </c>
      <c r="BA31" s="691">
        <v>0</v>
      </c>
      <c r="BB31" s="691">
        <v>0</v>
      </c>
      <c r="BC31" s="691">
        <v>0</v>
      </c>
      <c r="BD31" s="691">
        <v>0</v>
      </c>
      <c r="BE31" s="691">
        <v>0</v>
      </c>
      <c r="BF31" s="691">
        <v>0</v>
      </c>
      <c r="BG31" s="691">
        <v>0</v>
      </c>
      <c r="BH31" s="691">
        <v>0</v>
      </c>
      <c r="BI31" s="691">
        <v>0</v>
      </c>
      <c r="BJ31" s="691">
        <v>0</v>
      </c>
      <c r="BK31" s="691">
        <v>0</v>
      </c>
      <c r="BL31" s="691">
        <v>0</v>
      </c>
      <c r="BM31" s="691">
        <v>0</v>
      </c>
      <c r="BN31" s="691">
        <v>0</v>
      </c>
      <c r="BO31" s="691">
        <v>0</v>
      </c>
      <c r="BP31" s="691">
        <v>0</v>
      </c>
      <c r="BQ31" s="691">
        <v>0</v>
      </c>
      <c r="BR31" s="691">
        <v>0</v>
      </c>
      <c r="BS31" s="691">
        <v>0</v>
      </c>
      <c r="BT31" s="692">
        <v>0</v>
      </c>
      <c r="BU31" s="16"/>
    </row>
    <row r="32" spans="2:73" s="17" customFormat="1" ht="15.75" hidden="1" outlineLevel="1">
      <c r="B32" s="752" t="s">
        <v>730</v>
      </c>
      <c r="C32" s="752" t="s">
        <v>731</v>
      </c>
      <c r="D32" s="752" t="s">
        <v>732</v>
      </c>
      <c r="E32" s="752" t="s">
        <v>733</v>
      </c>
      <c r="F32" s="752" t="s">
        <v>29</v>
      </c>
      <c r="G32" s="752" t="s">
        <v>734</v>
      </c>
      <c r="H32" s="752">
        <v>2008</v>
      </c>
      <c r="I32" s="639" t="s">
        <v>569</v>
      </c>
      <c r="J32" s="639" t="s">
        <v>578</v>
      </c>
      <c r="K32" s="628"/>
      <c r="L32" s="690">
        <v>0</v>
      </c>
      <c r="M32" s="691">
        <v>0</v>
      </c>
      <c r="N32" s="691">
        <v>61.85783</v>
      </c>
      <c r="O32" s="691">
        <v>0</v>
      </c>
      <c r="P32" s="691">
        <v>0</v>
      </c>
      <c r="Q32" s="691">
        <v>0</v>
      </c>
      <c r="R32" s="691">
        <v>0</v>
      </c>
      <c r="S32" s="691">
        <v>0</v>
      </c>
      <c r="T32" s="691">
        <v>0</v>
      </c>
      <c r="U32" s="691">
        <v>0</v>
      </c>
      <c r="V32" s="691">
        <v>0</v>
      </c>
      <c r="W32" s="691">
        <v>0</v>
      </c>
      <c r="X32" s="691">
        <v>0</v>
      </c>
      <c r="Y32" s="691">
        <v>0</v>
      </c>
      <c r="Z32" s="691">
        <v>0</v>
      </c>
      <c r="AA32" s="691">
        <v>0</v>
      </c>
      <c r="AB32" s="691">
        <v>0</v>
      </c>
      <c r="AC32" s="691">
        <v>0</v>
      </c>
      <c r="AD32" s="691">
        <v>0</v>
      </c>
      <c r="AE32" s="691">
        <v>0</v>
      </c>
      <c r="AF32" s="691">
        <v>0</v>
      </c>
      <c r="AG32" s="691">
        <v>0</v>
      </c>
      <c r="AH32" s="691">
        <v>0</v>
      </c>
      <c r="AI32" s="691">
        <v>0</v>
      </c>
      <c r="AJ32" s="691">
        <v>0</v>
      </c>
      <c r="AK32" s="691">
        <v>0</v>
      </c>
      <c r="AL32" s="691">
        <v>0</v>
      </c>
      <c r="AM32" s="691">
        <v>0</v>
      </c>
      <c r="AN32" s="691">
        <v>0</v>
      </c>
      <c r="AO32" s="692">
        <v>0</v>
      </c>
      <c r="AP32" s="628"/>
      <c r="AQ32" s="690">
        <v>0</v>
      </c>
      <c r="AR32" s="691">
        <v>0</v>
      </c>
      <c r="AS32" s="691">
        <v>271.60070000000002</v>
      </c>
      <c r="AT32" s="691">
        <v>0</v>
      </c>
      <c r="AU32" s="691">
        <v>0</v>
      </c>
      <c r="AV32" s="691">
        <v>0</v>
      </c>
      <c r="AW32" s="691">
        <v>0</v>
      </c>
      <c r="AX32" s="691">
        <v>0</v>
      </c>
      <c r="AY32" s="691">
        <v>0</v>
      </c>
      <c r="AZ32" s="691">
        <v>0</v>
      </c>
      <c r="BA32" s="691">
        <v>0</v>
      </c>
      <c r="BB32" s="691">
        <v>0</v>
      </c>
      <c r="BC32" s="691">
        <v>0</v>
      </c>
      <c r="BD32" s="691">
        <v>0</v>
      </c>
      <c r="BE32" s="691">
        <v>0</v>
      </c>
      <c r="BF32" s="691">
        <v>0</v>
      </c>
      <c r="BG32" s="691">
        <v>0</v>
      </c>
      <c r="BH32" s="691">
        <v>0</v>
      </c>
      <c r="BI32" s="691">
        <v>0</v>
      </c>
      <c r="BJ32" s="691">
        <v>0</v>
      </c>
      <c r="BK32" s="691">
        <v>0</v>
      </c>
      <c r="BL32" s="691">
        <v>0</v>
      </c>
      <c r="BM32" s="691">
        <v>0</v>
      </c>
      <c r="BN32" s="691">
        <v>0</v>
      </c>
      <c r="BO32" s="691">
        <v>0</v>
      </c>
      <c r="BP32" s="691">
        <v>0</v>
      </c>
      <c r="BQ32" s="691">
        <v>0</v>
      </c>
      <c r="BR32" s="691">
        <v>0</v>
      </c>
      <c r="BS32" s="691">
        <v>0</v>
      </c>
      <c r="BT32" s="692">
        <v>0</v>
      </c>
      <c r="BU32" s="16"/>
    </row>
    <row r="33" spans="2:73" s="17" customFormat="1" ht="15.75" hidden="1" outlineLevel="1">
      <c r="B33" s="752" t="s">
        <v>730</v>
      </c>
      <c r="C33" s="752" t="s">
        <v>731</v>
      </c>
      <c r="D33" s="752" t="s">
        <v>42</v>
      </c>
      <c r="E33" s="752" t="s">
        <v>733</v>
      </c>
      <c r="F33" s="752" t="s">
        <v>29</v>
      </c>
      <c r="G33" s="752" t="s">
        <v>734</v>
      </c>
      <c r="H33" s="752">
        <v>2008</v>
      </c>
      <c r="I33" s="639" t="s">
        <v>570</v>
      </c>
      <c r="J33" s="639" t="s">
        <v>578</v>
      </c>
      <c r="K33" s="628"/>
      <c r="L33" s="690">
        <v>0</v>
      </c>
      <c r="M33" s="691">
        <v>0</v>
      </c>
      <c r="N33" s="691">
        <v>0</v>
      </c>
      <c r="O33" s="691">
        <v>47.782069999999997</v>
      </c>
      <c r="P33" s="691">
        <v>0</v>
      </c>
      <c r="Q33" s="691">
        <v>0</v>
      </c>
      <c r="R33" s="691">
        <v>0</v>
      </c>
      <c r="S33" s="691">
        <v>0</v>
      </c>
      <c r="T33" s="691">
        <v>0</v>
      </c>
      <c r="U33" s="691">
        <v>0</v>
      </c>
      <c r="V33" s="691">
        <v>0</v>
      </c>
      <c r="W33" s="691">
        <v>0</v>
      </c>
      <c r="X33" s="691">
        <v>0</v>
      </c>
      <c r="Y33" s="691">
        <v>0</v>
      </c>
      <c r="Z33" s="691">
        <v>0</v>
      </c>
      <c r="AA33" s="691">
        <v>0</v>
      </c>
      <c r="AB33" s="691">
        <v>0</v>
      </c>
      <c r="AC33" s="691">
        <v>0</v>
      </c>
      <c r="AD33" s="691">
        <v>0</v>
      </c>
      <c r="AE33" s="691">
        <v>0</v>
      </c>
      <c r="AF33" s="691">
        <v>0</v>
      </c>
      <c r="AG33" s="691">
        <v>0</v>
      </c>
      <c r="AH33" s="691">
        <v>0</v>
      </c>
      <c r="AI33" s="691">
        <v>0</v>
      </c>
      <c r="AJ33" s="691">
        <v>0</v>
      </c>
      <c r="AK33" s="691">
        <v>0</v>
      </c>
      <c r="AL33" s="691">
        <v>0</v>
      </c>
      <c r="AM33" s="691">
        <v>0</v>
      </c>
      <c r="AN33" s="691">
        <v>0</v>
      </c>
      <c r="AO33" s="692">
        <v>0</v>
      </c>
      <c r="AP33" s="628"/>
      <c r="AQ33" s="690">
        <v>0</v>
      </c>
      <c r="AR33" s="691">
        <v>0</v>
      </c>
      <c r="AS33" s="691">
        <v>0</v>
      </c>
      <c r="AT33" s="691">
        <v>0</v>
      </c>
      <c r="AU33" s="691">
        <v>0</v>
      </c>
      <c r="AV33" s="691">
        <v>0</v>
      </c>
      <c r="AW33" s="691">
        <v>0</v>
      </c>
      <c r="AX33" s="691">
        <v>0</v>
      </c>
      <c r="AY33" s="691">
        <v>0</v>
      </c>
      <c r="AZ33" s="691">
        <v>0</v>
      </c>
      <c r="BA33" s="691">
        <v>0</v>
      </c>
      <c r="BB33" s="691">
        <v>0</v>
      </c>
      <c r="BC33" s="691">
        <v>0</v>
      </c>
      <c r="BD33" s="691">
        <v>0</v>
      </c>
      <c r="BE33" s="691">
        <v>0</v>
      </c>
      <c r="BF33" s="691">
        <v>0</v>
      </c>
      <c r="BG33" s="691">
        <v>0</v>
      </c>
      <c r="BH33" s="691">
        <v>0</v>
      </c>
      <c r="BI33" s="691">
        <v>0</v>
      </c>
      <c r="BJ33" s="691">
        <v>0</v>
      </c>
      <c r="BK33" s="691">
        <v>0</v>
      </c>
      <c r="BL33" s="691">
        <v>0</v>
      </c>
      <c r="BM33" s="691">
        <v>0</v>
      </c>
      <c r="BN33" s="691">
        <v>0</v>
      </c>
      <c r="BO33" s="691">
        <v>0</v>
      </c>
      <c r="BP33" s="691">
        <v>0</v>
      </c>
      <c r="BQ33" s="691">
        <v>0</v>
      </c>
      <c r="BR33" s="691">
        <v>0</v>
      </c>
      <c r="BS33" s="691">
        <v>0</v>
      </c>
      <c r="BT33" s="692">
        <v>0</v>
      </c>
      <c r="BU33" s="16"/>
    </row>
    <row r="34" spans="2:73" s="17" customFormat="1" ht="15.75" hidden="1" outlineLevel="1">
      <c r="B34" s="752" t="s">
        <v>730</v>
      </c>
      <c r="C34" s="752" t="s">
        <v>731</v>
      </c>
      <c r="D34" s="752" t="s">
        <v>42</v>
      </c>
      <c r="E34" s="752" t="s">
        <v>733</v>
      </c>
      <c r="F34" s="752" t="s">
        <v>29</v>
      </c>
      <c r="G34" s="752" t="s">
        <v>734</v>
      </c>
      <c r="H34" s="752">
        <v>2008</v>
      </c>
      <c r="I34" s="639" t="s">
        <v>570</v>
      </c>
      <c r="J34" s="639" t="s">
        <v>578</v>
      </c>
      <c r="K34" s="628"/>
      <c r="L34" s="690">
        <v>0</v>
      </c>
      <c r="M34" s="691">
        <v>0</v>
      </c>
      <c r="N34" s="691">
        <v>0</v>
      </c>
      <c r="O34" s="691">
        <v>30.917809999999999</v>
      </c>
      <c r="P34" s="691">
        <v>0</v>
      </c>
      <c r="Q34" s="691">
        <v>0</v>
      </c>
      <c r="R34" s="691">
        <v>0</v>
      </c>
      <c r="S34" s="691">
        <v>0</v>
      </c>
      <c r="T34" s="691">
        <v>0</v>
      </c>
      <c r="U34" s="691">
        <v>0</v>
      </c>
      <c r="V34" s="691">
        <v>0</v>
      </c>
      <c r="W34" s="691">
        <v>0</v>
      </c>
      <c r="X34" s="691">
        <v>0</v>
      </c>
      <c r="Y34" s="691">
        <v>0</v>
      </c>
      <c r="Z34" s="691">
        <v>0</v>
      </c>
      <c r="AA34" s="691">
        <v>0</v>
      </c>
      <c r="AB34" s="691">
        <v>0</v>
      </c>
      <c r="AC34" s="691">
        <v>0</v>
      </c>
      <c r="AD34" s="691">
        <v>0</v>
      </c>
      <c r="AE34" s="691">
        <v>0</v>
      </c>
      <c r="AF34" s="691">
        <v>0</v>
      </c>
      <c r="AG34" s="691">
        <v>0</v>
      </c>
      <c r="AH34" s="691">
        <v>0</v>
      </c>
      <c r="AI34" s="691">
        <v>0</v>
      </c>
      <c r="AJ34" s="691">
        <v>0</v>
      </c>
      <c r="AK34" s="691">
        <v>0</v>
      </c>
      <c r="AL34" s="691">
        <v>0</v>
      </c>
      <c r="AM34" s="691">
        <v>0</v>
      </c>
      <c r="AN34" s="691">
        <v>0</v>
      </c>
      <c r="AO34" s="692">
        <v>0</v>
      </c>
      <c r="AP34" s="628"/>
      <c r="AQ34" s="690">
        <v>0</v>
      </c>
      <c r="AR34" s="691">
        <v>0</v>
      </c>
      <c r="AS34" s="691">
        <v>0</v>
      </c>
      <c r="AT34" s="691">
        <v>0</v>
      </c>
      <c r="AU34" s="691">
        <v>0</v>
      </c>
      <c r="AV34" s="691">
        <v>0</v>
      </c>
      <c r="AW34" s="691">
        <v>0</v>
      </c>
      <c r="AX34" s="691">
        <v>0</v>
      </c>
      <c r="AY34" s="691">
        <v>0</v>
      </c>
      <c r="AZ34" s="691">
        <v>0</v>
      </c>
      <c r="BA34" s="691">
        <v>0</v>
      </c>
      <c r="BB34" s="691">
        <v>0</v>
      </c>
      <c r="BC34" s="691">
        <v>0</v>
      </c>
      <c r="BD34" s="691">
        <v>0</v>
      </c>
      <c r="BE34" s="691">
        <v>0</v>
      </c>
      <c r="BF34" s="691">
        <v>0</v>
      </c>
      <c r="BG34" s="691">
        <v>0</v>
      </c>
      <c r="BH34" s="691">
        <v>0</v>
      </c>
      <c r="BI34" s="691">
        <v>0</v>
      </c>
      <c r="BJ34" s="691">
        <v>0</v>
      </c>
      <c r="BK34" s="691">
        <v>0</v>
      </c>
      <c r="BL34" s="691">
        <v>0</v>
      </c>
      <c r="BM34" s="691">
        <v>0</v>
      </c>
      <c r="BN34" s="691">
        <v>0</v>
      </c>
      <c r="BO34" s="691">
        <v>0</v>
      </c>
      <c r="BP34" s="691">
        <v>0</v>
      </c>
      <c r="BQ34" s="691">
        <v>0</v>
      </c>
      <c r="BR34" s="691">
        <v>0</v>
      </c>
      <c r="BS34" s="691">
        <v>0</v>
      </c>
      <c r="BT34" s="692">
        <v>0</v>
      </c>
      <c r="BU34" s="16"/>
    </row>
    <row r="35" spans="2:73" s="17" customFormat="1" ht="15.75" hidden="1" outlineLevel="1">
      <c r="B35" s="752" t="s">
        <v>730</v>
      </c>
      <c r="C35" s="752" t="s">
        <v>735</v>
      </c>
      <c r="D35" s="752" t="s">
        <v>732</v>
      </c>
      <c r="E35" s="752" t="s">
        <v>733</v>
      </c>
      <c r="F35" s="752" t="s">
        <v>736</v>
      </c>
      <c r="G35" s="752" t="s">
        <v>734</v>
      </c>
      <c r="H35" s="752">
        <v>2009</v>
      </c>
      <c r="I35" s="639" t="s">
        <v>569</v>
      </c>
      <c r="J35" s="639" t="s">
        <v>578</v>
      </c>
      <c r="K35" s="628"/>
      <c r="L35" s="690">
        <v>0</v>
      </c>
      <c r="M35" s="691">
        <v>0</v>
      </c>
      <c r="N35" s="691">
        <v>0.64</v>
      </c>
      <c r="O35" s="691">
        <v>0</v>
      </c>
      <c r="P35" s="691">
        <v>0</v>
      </c>
      <c r="Q35" s="691">
        <v>0</v>
      </c>
      <c r="R35" s="691">
        <v>0</v>
      </c>
      <c r="S35" s="691">
        <v>0</v>
      </c>
      <c r="T35" s="691">
        <v>0</v>
      </c>
      <c r="U35" s="691">
        <v>0</v>
      </c>
      <c r="V35" s="691">
        <v>0</v>
      </c>
      <c r="W35" s="691">
        <v>0</v>
      </c>
      <c r="X35" s="691">
        <v>0</v>
      </c>
      <c r="Y35" s="691">
        <v>0</v>
      </c>
      <c r="Z35" s="691">
        <v>0</v>
      </c>
      <c r="AA35" s="691">
        <v>0</v>
      </c>
      <c r="AB35" s="691">
        <v>0</v>
      </c>
      <c r="AC35" s="691">
        <v>0</v>
      </c>
      <c r="AD35" s="691">
        <v>0</v>
      </c>
      <c r="AE35" s="691">
        <v>0</v>
      </c>
      <c r="AF35" s="691">
        <v>0</v>
      </c>
      <c r="AG35" s="691">
        <v>0</v>
      </c>
      <c r="AH35" s="691">
        <v>0</v>
      </c>
      <c r="AI35" s="691">
        <v>0</v>
      </c>
      <c r="AJ35" s="691">
        <v>0</v>
      </c>
      <c r="AK35" s="691">
        <v>0</v>
      </c>
      <c r="AL35" s="691">
        <v>0</v>
      </c>
      <c r="AM35" s="691">
        <v>0</v>
      </c>
      <c r="AN35" s="691">
        <v>0</v>
      </c>
      <c r="AO35" s="692">
        <v>0</v>
      </c>
      <c r="AP35" s="628"/>
      <c r="AQ35" s="690">
        <v>0</v>
      </c>
      <c r="AR35" s="691">
        <v>0</v>
      </c>
      <c r="AS35" s="691">
        <v>1.020945</v>
      </c>
      <c r="AT35" s="691">
        <v>0</v>
      </c>
      <c r="AU35" s="691">
        <v>0</v>
      </c>
      <c r="AV35" s="691">
        <v>0</v>
      </c>
      <c r="AW35" s="691">
        <v>0</v>
      </c>
      <c r="AX35" s="691">
        <v>0</v>
      </c>
      <c r="AY35" s="691">
        <v>0</v>
      </c>
      <c r="AZ35" s="691">
        <v>0</v>
      </c>
      <c r="BA35" s="691">
        <v>0</v>
      </c>
      <c r="BB35" s="691">
        <v>0</v>
      </c>
      <c r="BC35" s="691">
        <v>0</v>
      </c>
      <c r="BD35" s="691">
        <v>0</v>
      </c>
      <c r="BE35" s="691">
        <v>0</v>
      </c>
      <c r="BF35" s="691">
        <v>0</v>
      </c>
      <c r="BG35" s="691">
        <v>0</v>
      </c>
      <c r="BH35" s="691">
        <v>0</v>
      </c>
      <c r="BI35" s="691">
        <v>0</v>
      </c>
      <c r="BJ35" s="691">
        <v>0</v>
      </c>
      <c r="BK35" s="691">
        <v>0</v>
      </c>
      <c r="BL35" s="691">
        <v>0</v>
      </c>
      <c r="BM35" s="691">
        <v>0</v>
      </c>
      <c r="BN35" s="691">
        <v>0</v>
      </c>
      <c r="BO35" s="691">
        <v>0</v>
      </c>
      <c r="BP35" s="691">
        <v>0</v>
      </c>
      <c r="BQ35" s="691">
        <v>0</v>
      </c>
      <c r="BR35" s="691">
        <v>0</v>
      </c>
      <c r="BS35" s="691">
        <v>0</v>
      </c>
      <c r="BT35" s="692">
        <v>0</v>
      </c>
      <c r="BU35" s="16"/>
    </row>
    <row r="36" spans="2:73" s="17" customFormat="1" ht="15.75" hidden="1" outlineLevel="1">
      <c r="B36" s="752" t="s">
        <v>730</v>
      </c>
      <c r="C36" s="752" t="s">
        <v>731</v>
      </c>
      <c r="D36" s="752" t="s">
        <v>732</v>
      </c>
      <c r="E36" s="752" t="s">
        <v>733</v>
      </c>
      <c r="F36" s="752" t="s">
        <v>29</v>
      </c>
      <c r="G36" s="752" t="s">
        <v>734</v>
      </c>
      <c r="H36" s="752">
        <v>2009</v>
      </c>
      <c r="I36" s="639" t="s">
        <v>569</v>
      </c>
      <c r="J36" s="639" t="s">
        <v>578</v>
      </c>
      <c r="K36" s="628"/>
      <c r="L36" s="690">
        <v>0</v>
      </c>
      <c r="M36" s="691">
        <v>0</v>
      </c>
      <c r="N36" s="691">
        <v>84.876940000000005</v>
      </c>
      <c r="O36" s="691">
        <v>0</v>
      </c>
      <c r="P36" s="691">
        <v>0</v>
      </c>
      <c r="Q36" s="691">
        <v>0</v>
      </c>
      <c r="R36" s="691">
        <v>0</v>
      </c>
      <c r="S36" s="691">
        <v>0</v>
      </c>
      <c r="T36" s="691">
        <v>0</v>
      </c>
      <c r="U36" s="691">
        <v>0</v>
      </c>
      <c r="V36" s="691">
        <v>0</v>
      </c>
      <c r="W36" s="691">
        <v>0</v>
      </c>
      <c r="X36" s="691">
        <v>0</v>
      </c>
      <c r="Y36" s="691">
        <v>0</v>
      </c>
      <c r="Z36" s="691">
        <v>0</v>
      </c>
      <c r="AA36" s="691">
        <v>0</v>
      </c>
      <c r="AB36" s="691">
        <v>0</v>
      </c>
      <c r="AC36" s="691">
        <v>0</v>
      </c>
      <c r="AD36" s="691">
        <v>0</v>
      </c>
      <c r="AE36" s="691">
        <v>0</v>
      </c>
      <c r="AF36" s="691">
        <v>0</v>
      </c>
      <c r="AG36" s="691">
        <v>0</v>
      </c>
      <c r="AH36" s="691">
        <v>0</v>
      </c>
      <c r="AI36" s="691">
        <v>0</v>
      </c>
      <c r="AJ36" s="691">
        <v>0</v>
      </c>
      <c r="AK36" s="691">
        <v>0</v>
      </c>
      <c r="AL36" s="691">
        <v>0</v>
      </c>
      <c r="AM36" s="691">
        <v>0</v>
      </c>
      <c r="AN36" s="691">
        <v>0</v>
      </c>
      <c r="AO36" s="692">
        <v>0</v>
      </c>
      <c r="AP36" s="628"/>
      <c r="AQ36" s="690">
        <v>0</v>
      </c>
      <c r="AR36" s="691">
        <v>0</v>
      </c>
      <c r="AS36" s="691">
        <v>372.3109</v>
      </c>
      <c r="AT36" s="691">
        <v>0</v>
      </c>
      <c r="AU36" s="691">
        <v>0</v>
      </c>
      <c r="AV36" s="691">
        <v>0</v>
      </c>
      <c r="AW36" s="691">
        <v>0</v>
      </c>
      <c r="AX36" s="691">
        <v>0</v>
      </c>
      <c r="AY36" s="691">
        <v>0</v>
      </c>
      <c r="AZ36" s="691">
        <v>0</v>
      </c>
      <c r="BA36" s="691">
        <v>0</v>
      </c>
      <c r="BB36" s="691">
        <v>0</v>
      </c>
      <c r="BC36" s="691">
        <v>0</v>
      </c>
      <c r="BD36" s="691">
        <v>0</v>
      </c>
      <c r="BE36" s="691">
        <v>0</v>
      </c>
      <c r="BF36" s="691">
        <v>0</v>
      </c>
      <c r="BG36" s="691">
        <v>0</v>
      </c>
      <c r="BH36" s="691">
        <v>0</v>
      </c>
      <c r="BI36" s="691">
        <v>0</v>
      </c>
      <c r="BJ36" s="691">
        <v>0</v>
      </c>
      <c r="BK36" s="691">
        <v>0</v>
      </c>
      <c r="BL36" s="691">
        <v>0</v>
      </c>
      <c r="BM36" s="691">
        <v>0</v>
      </c>
      <c r="BN36" s="691">
        <v>0</v>
      </c>
      <c r="BO36" s="691">
        <v>0</v>
      </c>
      <c r="BP36" s="691">
        <v>0</v>
      </c>
      <c r="BQ36" s="691">
        <v>0</v>
      </c>
      <c r="BR36" s="691">
        <v>0</v>
      </c>
      <c r="BS36" s="691">
        <v>0</v>
      </c>
      <c r="BT36" s="692">
        <v>0</v>
      </c>
      <c r="BU36" s="16"/>
    </row>
    <row r="37" spans="2:73" s="17" customFormat="1" ht="15.75" hidden="1" outlineLevel="1">
      <c r="B37" s="752" t="s">
        <v>730</v>
      </c>
      <c r="C37" s="752" t="s">
        <v>735</v>
      </c>
      <c r="D37" s="752" t="s">
        <v>732</v>
      </c>
      <c r="E37" s="752" t="s">
        <v>733</v>
      </c>
      <c r="F37" s="752" t="s">
        <v>736</v>
      </c>
      <c r="G37" s="752" t="s">
        <v>734</v>
      </c>
      <c r="H37" s="752">
        <v>2009</v>
      </c>
      <c r="I37" s="639" t="s">
        <v>569</v>
      </c>
      <c r="J37" s="639" t="s">
        <v>578</v>
      </c>
      <c r="K37" s="628"/>
      <c r="L37" s="690">
        <v>0</v>
      </c>
      <c r="M37" s="691">
        <v>0</v>
      </c>
      <c r="N37" s="691">
        <v>23.04</v>
      </c>
      <c r="O37" s="691">
        <v>0</v>
      </c>
      <c r="P37" s="691">
        <v>0</v>
      </c>
      <c r="Q37" s="691">
        <v>0</v>
      </c>
      <c r="R37" s="691">
        <v>0</v>
      </c>
      <c r="S37" s="691">
        <v>0</v>
      </c>
      <c r="T37" s="691">
        <v>0</v>
      </c>
      <c r="U37" s="691">
        <v>0</v>
      </c>
      <c r="V37" s="691">
        <v>0</v>
      </c>
      <c r="W37" s="691">
        <v>0</v>
      </c>
      <c r="X37" s="691">
        <v>0</v>
      </c>
      <c r="Y37" s="691">
        <v>0</v>
      </c>
      <c r="Z37" s="691">
        <v>0</v>
      </c>
      <c r="AA37" s="691">
        <v>0</v>
      </c>
      <c r="AB37" s="691">
        <v>0</v>
      </c>
      <c r="AC37" s="691">
        <v>0</v>
      </c>
      <c r="AD37" s="691">
        <v>0</v>
      </c>
      <c r="AE37" s="691">
        <v>0</v>
      </c>
      <c r="AF37" s="691">
        <v>0</v>
      </c>
      <c r="AG37" s="691">
        <v>0</v>
      </c>
      <c r="AH37" s="691">
        <v>0</v>
      </c>
      <c r="AI37" s="691">
        <v>0</v>
      </c>
      <c r="AJ37" s="691">
        <v>0</v>
      </c>
      <c r="AK37" s="691">
        <v>0</v>
      </c>
      <c r="AL37" s="691">
        <v>0</v>
      </c>
      <c r="AM37" s="691">
        <v>0</v>
      </c>
      <c r="AN37" s="691">
        <v>0</v>
      </c>
      <c r="AO37" s="692">
        <v>0</v>
      </c>
      <c r="AP37" s="628"/>
      <c r="AQ37" s="690">
        <v>0</v>
      </c>
      <c r="AR37" s="691">
        <v>0</v>
      </c>
      <c r="AS37" s="691">
        <v>36.75403</v>
      </c>
      <c r="AT37" s="691">
        <v>0</v>
      </c>
      <c r="AU37" s="691">
        <v>0</v>
      </c>
      <c r="AV37" s="691">
        <v>0</v>
      </c>
      <c r="AW37" s="691">
        <v>0</v>
      </c>
      <c r="AX37" s="691">
        <v>0</v>
      </c>
      <c r="AY37" s="691">
        <v>0</v>
      </c>
      <c r="AZ37" s="691">
        <v>0</v>
      </c>
      <c r="BA37" s="691">
        <v>0</v>
      </c>
      <c r="BB37" s="691">
        <v>0</v>
      </c>
      <c r="BC37" s="691">
        <v>0</v>
      </c>
      <c r="BD37" s="691">
        <v>0</v>
      </c>
      <c r="BE37" s="691">
        <v>0</v>
      </c>
      <c r="BF37" s="691">
        <v>0</v>
      </c>
      <c r="BG37" s="691">
        <v>0</v>
      </c>
      <c r="BH37" s="691">
        <v>0</v>
      </c>
      <c r="BI37" s="691">
        <v>0</v>
      </c>
      <c r="BJ37" s="691">
        <v>0</v>
      </c>
      <c r="BK37" s="691">
        <v>0</v>
      </c>
      <c r="BL37" s="691">
        <v>0</v>
      </c>
      <c r="BM37" s="691">
        <v>0</v>
      </c>
      <c r="BN37" s="691">
        <v>0</v>
      </c>
      <c r="BO37" s="691">
        <v>0</v>
      </c>
      <c r="BP37" s="691">
        <v>0</v>
      </c>
      <c r="BQ37" s="691">
        <v>0</v>
      </c>
      <c r="BR37" s="691">
        <v>0</v>
      </c>
      <c r="BS37" s="691">
        <v>0</v>
      </c>
      <c r="BT37" s="692">
        <v>0</v>
      </c>
      <c r="BU37" s="16"/>
    </row>
    <row r="38" spans="2:73" s="17" customFormat="1" ht="15.75" hidden="1" outlineLevel="1">
      <c r="B38" s="752" t="s">
        <v>730</v>
      </c>
      <c r="C38" s="752" t="s">
        <v>731</v>
      </c>
      <c r="D38" s="752" t="s">
        <v>732</v>
      </c>
      <c r="E38" s="752" t="s">
        <v>733</v>
      </c>
      <c r="F38" s="752" t="s">
        <v>29</v>
      </c>
      <c r="G38" s="752" t="s">
        <v>734</v>
      </c>
      <c r="H38" s="752">
        <v>2009</v>
      </c>
      <c r="I38" s="639" t="s">
        <v>569</v>
      </c>
      <c r="J38" s="639" t="s">
        <v>578</v>
      </c>
      <c r="K38" s="628"/>
      <c r="L38" s="690">
        <v>0</v>
      </c>
      <c r="M38" s="691">
        <v>0</v>
      </c>
      <c r="N38" s="691">
        <v>386.93400000000003</v>
      </c>
      <c r="O38" s="691">
        <v>0</v>
      </c>
      <c r="P38" s="691">
        <v>0</v>
      </c>
      <c r="Q38" s="691">
        <v>0</v>
      </c>
      <c r="R38" s="691">
        <v>0</v>
      </c>
      <c r="S38" s="691">
        <v>0</v>
      </c>
      <c r="T38" s="691">
        <v>0</v>
      </c>
      <c r="U38" s="691">
        <v>0</v>
      </c>
      <c r="V38" s="691">
        <v>0</v>
      </c>
      <c r="W38" s="691">
        <v>0</v>
      </c>
      <c r="X38" s="691">
        <v>0</v>
      </c>
      <c r="Y38" s="691">
        <v>0</v>
      </c>
      <c r="Z38" s="691">
        <v>0</v>
      </c>
      <c r="AA38" s="691">
        <v>0</v>
      </c>
      <c r="AB38" s="691">
        <v>0</v>
      </c>
      <c r="AC38" s="691">
        <v>0</v>
      </c>
      <c r="AD38" s="691">
        <v>0</v>
      </c>
      <c r="AE38" s="691">
        <v>0</v>
      </c>
      <c r="AF38" s="691">
        <v>0</v>
      </c>
      <c r="AG38" s="691">
        <v>0</v>
      </c>
      <c r="AH38" s="691">
        <v>0</v>
      </c>
      <c r="AI38" s="691">
        <v>0</v>
      </c>
      <c r="AJ38" s="691">
        <v>0</v>
      </c>
      <c r="AK38" s="691">
        <v>0</v>
      </c>
      <c r="AL38" s="691">
        <v>0</v>
      </c>
      <c r="AM38" s="691">
        <v>0</v>
      </c>
      <c r="AN38" s="691">
        <v>0</v>
      </c>
      <c r="AO38" s="692">
        <v>0</v>
      </c>
      <c r="AP38" s="628"/>
      <c r="AQ38" s="690">
        <v>0</v>
      </c>
      <c r="AR38" s="691">
        <v>0</v>
      </c>
      <c r="AS38" s="691">
        <v>1703.3109999999999</v>
      </c>
      <c r="AT38" s="691">
        <v>0</v>
      </c>
      <c r="AU38" s="691">
        <v>0</v>
      </c>
      <c r="AV38" s="691">
        <v>0</v>
      </c>
      <c r="AW38" s="691">
        <v>0</v>
      </c>
      <c r="AX38" s="691">
        <v>0</v>
      </c>
      <c r="AY38" s="691">
        <v>0</v>
      </c>
      <c r="AZ38" s="691">
        <v>0</v>
      </c>
      <c r="BA38" s="691">
        <v>0</v>
      </c>
      <c r="BB38" s="691">
        <v>0</v>
      </c>
      <c r="BC38" s="691">
        <v>0</v>
      </c>
      <c r="BD38" s="691">
        <v>0</v>
      </c>
      <c r="BE38" s="691">
        <v>0</v>
      </c>
      <c r="BF38" s="691">
        <v>0</v>
      </c>
      <c r="BG38" s="691">
        <v>0</v>
      </c>
      <c r="BH38" s="691">
        <v>0</v>
      </c>
      <c r="BI38" s="691">
        <v>0</v>
      </c>
      <c r="BJ38" s="691">
        <v>0</v>
      </c>
      <c r="BK38" s="691">
        <v>0</v>
      </c>
      <c r="BL38" s="691">
        <v>0</v>
      </c>
      <c r="BM38" s="691">
        <v>0</v>
      </c>
      <c r="BN38" s="691">
        <v>0</v>
      </c>
      <c r="BO38" s="691">
        <v>0</v>
      </c>
      <c r="BP38" s="691">
        <v>0</v>
      </c>
      <c r="BQ38" s="691">
        <v>0</v>
      </c>
      <c r="BR38" s="691">
        <v>0</v>
      </c>
      <c r="BS38" s="691">
        <v>0</v>
      </c>
      <c r="BT38" s="692">
        <v>0</v>
      </c>
      <c r="BU38" s="16"/>
    </row>
    <row r="39" spans="2:73" s="17" customFormat="1" ht="15.75" hidden="1" outlineLevel="1">
      <c r="B39" s="752" t="s">
        <v>730</v>
      </c>
      <c r="C39" s="752" t="s">
        <v>735</v>
      </c>
      <c r="D39" s="752" t="s">
        <v>737</v>
      </c>
      <c r="E39" s="752" t="s">
        <v>733</v>
      </c>
      <c r="F39" s="752" t="s">
        <v>738</v>
      </c>
      <c r="G39" s="752" t="s">
        <v>734</v>
      </c>
      <c r="H39" s="752">
        <v>2009</v>
      </c>
      <c r="I39" s="639" t="s">
        <v>570</v>
      </c>
      <c r="J39" s="639" t="s">
        <v>578</v>
      </c>
      <c r="K39" s="628"/>
      <c r="L39" s="690">
        <v>0</v>
      </c>
      <c r="M39" s="691">
        <v>0</v>
      </c>
      <c r="N39" s="691">
        <v>0</v>
      </c>
      <c r="O39" s="691">
        <v>19.708950000000002</v>
      </c>
      <c r="P39" s="691">
        <v>0</v>
      </c>
      <c r="Q39" s="691">
        <v>0</v>
      </c>
      <c r="R39" s="691">
        <v>0</v>
      </c>
      <c r="S39" s="691">
        <v>0</v>
      </c>
      <c r="T39" s="691">
        <v>0</v>
      </c>
      <c r="U39" s="691">
        <v>0</v>
      </c>
      <c r="V39" s="691">
        <v>0</v>
      </c>
      <c r="W39" s="691">
        <v>0</v>
      </c>
      <c r="X39" s="691">
        <v>0</v>
      </c>
      <c r="Y39" s="691">
        <v>0</v>
      </c>
      <c r="Z39" s="691">
        <v>0</v>
      </c>
      <c r="AA39" s="691">
        <v>0</v>
      </c>
      <c r="AB39" s="691">
        <v>0</v>
      </c>
      <c r="AC39" s="691">
        <v>0</v>
      </c>
      <c r="AD39" s="691">
        <v>0</v>
      </c>
      <c r="AE39" s="691">
        <v>0</v>
      </c>
      <c r="AF39" s="691">
        <v>0</v>
      </c>
      <c r="AG39" s="691">
        <v>0</v>
      </c>
      <c r="AH39" s="691">
        <v>0</v>
      </c>
      <c r="AI39" s="691">
        <v>0</v>
      </c>
      <c r="AJ39" s="691">
        <v>0</v>
      </c>
      <c r="AK39" s="691">
        <v>0</v>
      </c>
      <c r="AL39" s="691">
        <v>0</v>
      </c>
      <c r="AM39" s="691">
        <v>0</v>
      </c>
      <c r="AN39" s="691">
        <v>0</v>
      </c>
      <c r="AO39" s="692">
        <v>0</v>
      </c>
      <c r="AP39" s="628"/>
      <c r="AQ39" s="690">
        <v>0</v>
      </c>
      <c r="AR39" s="691">
        <v>0</v>
      </c>
      <c r="AS39" s="691">
        <v>0</v>
      </c>
      <c r="AT39" s="691">
        <v>0</v>
      </c>
      <c r="AU39" s="691">
        <v>0</v>
      </c>
      <c r="AV39" s="691">
        <v>0</v>
      </c>
      <c r="AW39" s="691">
        <v>0</v>
      </c>
      <c r="AX39" s="691">
        <v>0</v>
      </c>
      <c r="AY39" s="691">
        <v>0</v>
      </c>
      <c r="AZ39" s="691">
        <v>0</v>
      </c>
      <c r="BA39" s="691">
        <v>0</v>
      </c>
      <c r="BB39" s="691">
        <v>0</v>
      </c>
      <c r="BC39" s="691">
        <v>0</v>
      </c>
      <c r="BD39" s="691">
        <v>0</v>
      </c>
      <c r="BE39" s="691">
        <v>0</v>
      </c>
      <c r="BF39" s="691">
        <v>0</v>
      </c>
      <c r="BG39" s="691">
        <v>0</v>
      </c>
      <c r="BH39" s="691">
        <v>0</v>
      </c>
      <c r="BI39" s="691">
        <v>0</v>
      </c>
      <c r="BJ39" s="691">
        <v>0</v>
      </c>
      <c r="BK39" s="691">
        <v>0</v>
      </c>
      <c r="BL39" s="691">
        <v>0</v>
      </c>
      <c r="BM39" s="691">
        <v>0</v>
      </c>
      <c r="BN39" s="691">
        <v>0</v>
      </c>
      <c r="BO39" s="691">
        <v>0</v>
      </c>
      <c r="BP39" s="691">
        <v>0</v>
      </c>
      <c r="BQ39" s="691">
        <v>0</v>
      </c>
      <c r="BR39" s="691">
        <v>0</v>
      </c>
      <c r="BS39" s="691">
        <v>0</v>
      </c>
      <c r="BT39" s="692">
        <v>0</v>
      </c>
      <c r="BU39" s="16"/>
    </row>
    <row r="40" spans="2:73" s="17" customFormat="1" ht="15.75" hidden="1" outlineLevel="1">
      <c r="B40" s="752" t="s">
        <v>730</v>
      </c>
      <c r="C40" s="752" t="s">
        <v>731</v>
      </c>
      <c r="D40" s="752" t="s">
        <v>42</v>
      </c>
      <c r="E40" s="752" t="s">
        <v>733</v>
      </c>
      <c r="F40" s="752" t="s">
        <v>29</v>
      </c>
      <c r="G40" s="752" t="s">
        <v>734</v>
      </c>
      <c r="H40" s="752">
        <v>2009</v>
      </c>
      <c r="I40" s="639" t="s">
        <v>570</v>
      </c>
      <c r="J40" s="639" t="s">
        <v>578</v>
      </c>
      <c r="K40" s="628"/>
      <c r="L40" s="690">
        <v>0</v>
      </c>
      <c r="M40" s="691">
        <v>0</v>
      </c>
      <c r="N40" s="691">
        <v>0</v>
      </c>
      <c r="O40" s="691">
        <v>309.68270000000001</v>
      </c>
      <c r="P40" s="691">
        <v>0</v>
      </c>
      <c r="Q40" s="691">
        <v>0</v>
      </c>
      <c r="R40" s="691">
        <v>0</v>
      </c>
      <c r="S40" s="691">
        <v>0</v>
      </c>
      <c r="T40" s="691">
        <v>0</v>
      </c>
      <c r="U40" s="691">
        <v>0</v>
      </c>
      <c r="V40" s="691">
        <v>0</v>
      </c>
      <c r="W40" s="691">
        <v>0</v>
      </c>
      <c r="X40" s="691">
        <v>0</v>
      </c>
      <c r="Y40" s="691">
        <v>0</v>
      </c>
      <c r="Z40" s="691">
        <v>0</v>
      </c>
      <c r="AA40" s="691">
        <v>0</v>
      </c>
      <c r="AB40" s="691">
        <v>0</v>
      </c>
      <c r="AC40" s="691">
        <v>0</v>
      </c>
      <c r="AD40" s="691">
        <v>0</v>
      </c>
      <c r="AE40" s="691">
        <v>0</v>
      </c>
      <c r="AF40" s="691">
        <v>0</v>
      </c>
      <c r="AG40" s="691">
        <v>0</v>
      </c>
      <c r="AH40" s="691">
        <v>0</v>
      </c>
      <c r="AI40" s="691">
        <v>0</v>
      </c>
      <c r="AJ40" s="691">
        <v>0</v>
      </c>
      <c r="AK40" s="691">
        <v>0</v>
      </c>
      <c r="AL40" s="691">
        <v>0</v>
      </c>
      <c r="AM40" s="691">
        <v>0</v>
      </c>
      <c r="AN40" s="691">
        <v>0</v>
      </c>
      <c r="AO40" s="692">
        <v>0</v>
      </c>
      <c r="AP40" s="628"/>
      <c r="AQ40" s="690">
        <v>0</v>
      </c>
      <c r="AR40" s="691">
        <v>0</v>
      </c>
      <c r="AS40" s="691">
        <v>0</v>
      </c>
      <c r="AT40" s="691">
        <v>0</v>
      </c>
      <c r="AU40" s="691">
        <v>0</v>
      </c>
      <c r="AV40" s="691">
        <v>0</v>
      </c>
      <c r="AW40" s="691">
        <v>0</v>
      </c>
      <c r="AX40" s="691">
        <v>0</v>
      </c>
      <c r="AY40" s="691">
        <v>0</v>
      </c>
      <c r="AZ40" s="691">
        <v>0</v>
      </c>
      <c r="BA40" s="691">
        <v>0</v>
      </c>
      <c r="BB40" s="691">
        <v>0</v>
      </c>
      <c r="BC40" s="691">
        <v>0</v>
      </c>
      <c r="BD40" s="691">
        <v>0</v>
      </c>
      <c r="BE40" s="691">
        <v>0</v>
      </c>
      <c r="BF40" s="691">
        <v>0</v>
      </c>
      <c r="BG40" s="691">
        <v>0</v>
      </c>
      <c r="BH40" s="691">
        <v>0</v>
      </c>
      <c r="BI40" s="691">
        <v>0</v>
      </c>
      <c r="BJ40" s="691">
        <v>0</v>
      </c>
      <c r="BK40" s="691">
        <v>0</v>
      </c>
      <c r="BL40" s="691">
        <v>0</v>
      </c>
      <c r="BM40" s="691">
        <v>0</v>
      </c>
      <c r="BN40" s="691">
        <v>0</v>
      </c>
      <c r="BO40" s="691">
        <v>0</v>
      </c>
      <c r="BP40" s="691">
        <v>0</v>
      </c>
      <c r="BQ40" s="691">
        <v>0</v>
      </c>
      <c r="BR40" s="691">
        <v>0</v>
      </c>
      <c r="BS40" s="691">
        <v>0</v>
      </c>
      <c r="BT40" s="692">
        <v>0</v>
      </c>
      <c r="BU40" s="16"/>
    </row>
    <row r="41" spans="2:73" s="17" customFormat="1" ht="15.75" hidden="1" outlineLevel="1">
      <c r="B41" s="752" t="s">
        <v>730</v>
      </c>
      <c r="C41" s="752" t="s">
        <v>735</v>
      </c>
      <c r="D41" s="752" t="s">
        <v>737</v>
      </c>
      <c r="E41" s="752" t="s">
        <v>733</v>
      </c>
      <c r="F41" s="752" t="s">
        <v>738</v>
      </c>
      <c r="G41" s="752" t="s">
        <v>734</v>
      </c>
      <c r="H41" s="752">
        <v>2009</v>
      </c>
      <c r="I41" s="639" t="s">
        <v>570</v>
      </c>
      <c r="J41" s="639" t="s">
        <v>578</v>
      </c>
      <c r="K41" s="628"/>
      <c r="L41" s="690">
        <v>0</v>
      </c>
      <c r="M41" s="691">
        <v>0</v>
      </c>
      <c r="N41" s="691">
        <v>0</v>
      </c>
      <c r="O41" s="691">
        <v>1.68415</v>
      </c>
      <c r="P41" s="691">
        <v>0</v>
      </c>
      <c r="Q41" s="691">
        <v>0</v>
      </c>
      <c r="R41" s="691">
        <v>0</v>
      </c>
      <c r="S41" s="691">
        <v>0</v>
      </c>
      <c r="T41" s="691">
        <v>0</v>
      </c>
      <c r="U41" s="691">
        <v>0</v>
      </c>
      <c r="V41" s="691">
        <v>0</v>
      </c>
      <c r="W41" s="691">
        <v>0</v>
      </c>
      <c r="X41" s="691">
        <v>0</v>
      </c>
      <c r="Y41" s="691">
        <v>0</v>
      </c>
      <c r="Z41" s="691">
        <v>0</v>
      </c>
      <c r="AA41" s="691">
        <v>0</v>
      </c>
      <c r="AB41" s="691">
        <v>0</v>
      </c>
      <c r="AC41" s="691">
        <v>0</v>
      </c>
      <c r="AD41" s="691">
        <v>0</v>
      </c>
      <c r="AE41" s="691">
        <v>0</v>
      </c>
      <c r="AF41" s="691">
        <v>0</v>
      </c>
      <c r="AG41" s="691">
        <v>0</v>
      </c>
      <c r="AH41" s="691">
        <v>0</v>
      </c>
      <c r="AI41" s="691">
        <v>0</v>
      </c>
      <c r="AJ41" s="691">
        <v>0</v>
      </c>
      <c r="AK41" s="691">
        <v>0</v>
      </c>
      <c r="AL41" s="691">
        <v>0</v>
      </c>
      <c r="AM41" s="691">
        <v>0</v>
      </c>
      <c r="AN41" s="691">
        <v>0</v>
      </c>
      <c r="AO41" s="692">
        <v>0</v>
      </c>
      <c r="AP41" s="628"/>
      <c r="AQ41" s="690">
        <v>0</v>
      </c>
      <c r="AR41" s="691">
        <v>0</v>
      </c>
      <c r="AS41" s="691">
        <v>0</v>
      </c>
      <c r="AT41" s="691">
        <v>0</v>
      </c>
      <c r="AU41" s="691">
        <v>0</v>
      </c>
      <c r="AV41" s="691">
        <v>0</v>
      </c>
      <c r="AW41" s="691">
        <v>0</v>
      </c>
      <c r="AX41" s="691">
        <v>0</v>
      </c>
      <c r="AY41" s="691">
        <v>0</v>
      </c>
      <c r="AZ41" s="691">
        <v>0</v>
      </c>
      <c r="BA41" s="691">
        <v>0</v>
      </c>
      <c r="BB41" s="691">
        <v>0</v>
      </c>
      <c r="BC41" s="691">
        <v>0</v>
      </c>
      <c r="BD41" s="691">
        <v>0</v>
      </c>
      <c r="BE41" s="691">
        <v>0</v>
      </c>
      <c r="BF41" s="691">
        <v>0</v>
      </c>
      <c r="BG41" s="691">
        <v>0</v>
      </c>
      <c r="BH41" s="691">
        <v>0</v>
      </c>
      <c r="BI41" s="691">
        <v>0</v>
      </c>
      <c r="BJ41" s="691">
        <v>0</v>
      </c>
      <c r="BK41" s="691">
        <v>0</v>
      </c>
      <c r="BL41" s="691">
        <v>0</v>
      </c>
      <c r="BM41" s="691">
        <v>0</v>
      </c>
      <c r="BN41" s="691">
        <v>0</v>
      </c>
      <c r="BO41" s="691">
        <v>0</v>
      </c>
      <c r="BP41" s="691">
        <v>0</v>
      </c>
      <c r="BQ41" s="691">
        <v>0</v>
      </c>
      <c r="BR41" s="691">
        <v>0</v>
      </c>
      <c r="BS41" s="691">
        <v>0</v>
      </c>
      <c r="BT41" s="692">
        <v>0</v>
      </c>
      <c r="BU41" s="16"/>
    </row>
    <row r="42" spans="2:73" s="17" customFormat="1" ht="15.75" hidden="1" outlineLevel="1">
      <c r="B42" s="752" t="s">
        <v>730</v>
      </c>
      <c r="C42" s="752" t="s">
        <v>731</v>
      </c>
      <c r="D42" s="752" t="s">
        <v>42</v>
      </c>
      <c r="E42" s="752" t="s">
        <v>733</v>
      </c>
      <c r="F42" s="752" t="s">
        <v>29</v>
      </c>
      <c r="G42" s="752" t="s">
        <v>734</v>
      </c>
      <c r="H42" s="752">
        <v>2009</v>
      </c>
      <c r="I42" s="639" t="s">
        <v>570</v>
      </c>
      <c r="J42" s="639" t="s">
        <v>578</v>
      </c>
      <c r="K42" s="628"/>
      <c r="L42" s="690">
        <v>0</v>
      </c>
      <c r="M42" s="691">
        <v>0</v>
      </c>
      <c r="N42" s="691">
        <v>0</v>
      </c>
      <c r="O42" s="691">
        <v>133.9367</v>
      </c>
      <c r="P42" s="691">
        <v>0</v>
      </c>
      <c r="Q42" s="691">
        <v>0</v>
      </c>
      <c r="R42" s="691">
        <v>0</v>
      </c>
      <c r="S42" s="691">
        <v>0</v>
      </c>
      <c r="T42" s="691">
        <v>0</v>
      </c>
      <c r="U42" s="691">
        <v>0</v>
      </c>
      <c r="V42" s="691">
        <v>0</v>
      </c>
      <c r="W42" s="691">
        <v>0</v>
      </c>
      <c r="X42" s="691">
        <v>0</v>
      </c>
      <c r="Y42" s="691">
        <v>0</v>
      </c>
      <c r="Z42" s="691">
        <v>0</v>
      </c>
      <c r="AA42" s="691">
        <v>0</v>
      </c>
      <c r="AB42" s="691">
        <v>0</v>
      </c>
      <c r="AC42" s="691">
        <v>0</v>
      </c>
      <c r="AD42" s="691">
        <v>0</v>
      </c>
      <c r="AE42" s="691">
        <v>0</v>
      </c>
      <c r="AF42" s="691">
        <v>0</v>
      </c>
      <c r="AG42" s="691">
        <v>0</v>
      </c>
      <c r="AH42" s="691">
        <v>0</v>
      </c>
      <c r="AI42" s="691">
        <v>0</v>
      </c>
      <c r="AJ42" s="691">
        <v>0</v>
      </c>
      <c r="AK42" s="691">
        <v>0</v>
      </c>
      <c r="AL42" s="691">
        <v>0</v>
      </c>
      <c r="AM42" s="691">
        <v>0</v>
      </c>
      <c r="AN42" s="691">
        <v>0</v>
      </c>
      <c r="AO42" s="692">
        <v>0</v>
      </c>
      <c r="AP42" s="628"/>
      <c r="AQ42" s="690">
        <v>0</v>
      </c>
      <c r="AR42" s="691">
        <v>0</v>
      </c>
      <c r="AS42" s="691">
        <v>0</v>
      </c>
      <c r="AT42" s="691">
        <v>0</v>
      </c>
      <c r="AU42" s="691">
        <v>0</v>
      </c>
      <c r="AV42" s="691">
        <v>0</v>
      </c>
      <c r="AW42" s="691">
        <v>0</v>
      </c>
      <c r="AX42" s="691">
        <v>0</v>
      </c>
      <c r="AY42" s="691">
        <v>0</v>
      </c>
      <c r="AZ42" s="691">
        <v>0</v>
      </c>
      <c r="BA42" s="691">
        <v>0</v>
      </c>
      <c r="BB42" s="691">
        <v>0</v>
      </c>
      <c r="BC42" s="691">
        <v>0</v>
      </c>
      <c r="BD42" s="691">
        <v>0</v>
      </c>
      <c r="BE42" s="691">
        <v>0</v>
      </c>
      <c r="BF42" s="691">
        <v>0</v>
      </c>
      <c r="BG42" s="691">
        <v>0</v>
      </c>
      <c r="BH42" s="691">
        <v>0</v>
      </c>
      <c r="BI42" s="691">
        <v>0</v>
      </c>
      <c r="BJ42" s="691">
        <v>0</v>
      </c>
      <c r="BK42" s="691">
        <v>0</v>
      </c>
      <c r="BL42" s="691">
        <v>0</v>
      </c>
      <c r="BM42" s="691">
        <v>0</v>
      </c>
      <c r="BN42" s="691">
        <v>0</v>
      </c>
      <c r="BO42" s="691">
        <v>0</v>
      </c>
      <c r="BP42" s="691">
        <v>0</v>
      </c>
      <c r="BQ42" s="691">
        <v>0</v>
      </c>
      <c r="BR42" s="691">
        <v>0</v>
      </c>
      <c r="BS42" s="691">
        <v>0</v>
      </c>
      <c r="BT42" s="692">
        <v>0</v>
      </c>
      <c r="BU42" s="16"/>
    </row>
    <row r="43" spans="2:73" s="17" customFormat="1" ht="15.75" hidden="1" outlineLevel="1">
      <c r="B43" s="752" t="s">
        <v>730</v>
      </c>
      <c r="C43" s="752" t="s">
        <v>731</v>
      </c>
      <c r="D43" s="752" t="s">
        <v>732</v>
      </c>
      <c r="E43" s="752" t="s">
        <v>733</v>
      </c>
      <c r="F43" s="752" t="s">
        <v>29</v>
      </c>
      <c r="G43" s="752" t="s">
        <v>734</v>
      </c>
      <c r="H43" s="752">
        <v>2010</v>
      </c>
      <c r="I43" s="639" t="s">
        <v>569</v>
      </c>
      <c r="J43" s="639" t="s">
        <v>578</v>
      </c>
      <c r="K43" s="628"/>
      <c r="L43" s="690">
        <v>0</v>
      </c>
      <c r="M43" s="691">
        <v>0</v>
      </c>
      <c r="N43" s="691">
        <v>89.035150000000002</v>
      </c>
      <c r="O43" s="691">
        <v>0</v>
      </c>
      <c r="P43" s="691">
        <v>0</v>
      </c>
      <c r="Q43" s="691">
        <v>0</v>
      </c>
      <c r="R43" s="691">
        <v>0</v>
      </c>
      <c r="S43" s="691">
        <v>0</v>
      </c>
      <c r="T43" s="691">
        <v>0</v>
      </c>
      <c r="U43" s="691">
        <v>0</v>
      </c>
      <c r="V43" s="691">
        <v>0</v>
      </c>
      <c r="W43" s="691">
        <v>0</v>
      </c>
      <c r="X43" s="691">
        <v>0</v>
      </c>
      <c r="Y43" s="691">
        <v>0</v>
      </c>
      <c r="Z43" s="691">
        <v>0</v>
      </c>
      <c r="AA43" s="691">
        <v>0</v>
      </c>
      <c r="AB43" s="691">
        <v>0</v>
      </c>
      <c r="AC43" s="691">
        <v>0</v>
      </c>
      <c r="AD43" s="691">
        <v>0</v>
      </c>
      <c r="AE43" s="691">
        <v>0</v>
      </c>
      <c r="AF43" s="691">
        <v>0</v>
      </c>
      <c r="AG43" s="691">
        <v>0</v>
      </c>
      <c r="AH43" s="691">
        <v>0</v>
      </c>
      <c r="AI43" s="691">
        <v>0</v>
      </c>
      <c r="AJ43" s="691">
        <v>0</v>
      </c>
      <c r="AK43" s="691">
        <v>0</v>
      </c>
      <c r="AL43" s="691">
        <v>0</v>
      </c>
      <c r="AM43" s="691">
        <v>0</v>
      </c>
      <c r="AN43" s="691">
        <v>0</v>
      </c>
      <c r="AO43" s="692">
        <v>0</v>
      </c>
      <c r="AP43" s="628"/>
      <c r="AQ43" s="690">
        <v>0</v>
      </c>
      <c r="AR43" s="691">
        <v>0</v>
      </c>
      <c r="AS43" s="691">
        <v>392.28199999999998</v>
      </c>
      <c r="AT43" s="691">
        <v>0</v>
      </c>
      <c r="AU43" s="691">
        <v>0</v>
      </c>
      <c r="AV43" s="691">
        <v>0</v>
      </c>
      <c r="AW43" s="691">
        <v>0</v>
      </c>
      <c r="AX43" s="691">
        <v>0</v>
      </c>
      <c r="AY43" s="691">
        <v>0</v>
      </c>
      <c r="AZ43" s="691">
        <v>0</v>
      </c>
      <c r="BA43" s="691">
        <v>0</v>
      </c>
      <c r="BB43" s="691">
        <v>0</v>
      </c>
      <c r="BC43" s="691">
        <v>0</v>
      </c>
      <c r="BD43" s="691">
        <v>0</v>
      </c>
      <c r="BE43" s="691">
        <v>0</v>
      </c>
      <c r="BF43" s="691">
        <v>0</v>
      </c>
      <c r="BG43" s="691">
        <v>0</v>
      </c>
      <c r="BH43" s="691">
        <v>0</v>
      </c>
      <c r="BI43" s="691">
        <v>0</v>
      </c>
      <c r="BJ43" s="691">
        <v>0</v>
      </c>
      <c r="BK43" s="691">
        <v>0</v>
      </c>
      <c r="BL43" s="691">
        <v>0</v>
      </c>
      <c r="BM43" s="691">
        <v>0</v>
      </c>
      <c r="BN43" s="691">
        <v>0</v>
      </c>
      <c r="BO43" s="691">
        <v>0</v>
      </c>
      <c r="BP43" s="691">
        <v>0</v>
      </c>
      <c r="BQ43" s="691">
        <v>0</v>
      </c>
      <c r="BR43" s="691">
        <v>0</v>
      </c>
      <c r="BS43" s="691">
        <v>0</v>
      </c>
      <c r="BT43" s="692">
        <v>0</v>
      </c>
      <c r="BU43" s="16"/>
    </row>
    <row r="44" spans="2:73" s="17" customFormat="1" ht="15.75" hidden="1" outlineLevel="1">
      <c r="B44" s="752" t="s">
        <v>730</v>
      </c>
      <c r="C44" s="752" t="s">
        <v>735</v>
      </c>
      <c r="D44" s="752" t="s">
        <v>732</v>
      </c>
      <c r="E44" s="752" t="s">
        <v>733</v>
      </c>
      <c r="F44" s="752" t="s">
        <v>736</v>
      </c>
      <c r="G44" s="752" t="s">
        <v>734</v>
      </c>
      <c r="H44" s="752">
        <v>2010</v>
      </c>
      <c r="I44" s="639" t="s">
        <v>569</v>
      </c>
      <c r="J44" s="639" t="s">
        <v>578</v>
      </c>
      <c r="K44" s="628"/>
      <c r="L44" s="690">
        <v>0</v>
      </c>
      <c r="M44" s="691">
        <v>0</v>
      </c>
      <c r="N44" s="691">
        <v>6.4</v>
      </c>
      <c r="O44" s="691">
        <v>0</v>
      </c>
      <c r="P44" s="691">
        <v>0</v>
      </c>
      <c r="Q44" s="691">
        <v>0</v>
      </c>
      <c r="R44" s="691">
        <v>0</v>
      </c>
      <c r="S44" s="691">
        <v>0</v>
      </c>
      <c r="T44" s="691">
        <v>0</v>
      </c>
      <c r="U44" s="691">
        <v>0</v>
      </c>
      <c r="V44" s="691">
        <v>0</v>
      </c>
      <c r="W44" s="691">
        <v>0</v>
      </c>
      <c r="X44" s="691">
        <v>0</v>
      </c>
      <c r="Y44" s="691">
        <v>0</v>
      </c>
      <c r="Z44" s="691">
        <v>0</v>
      </c>
      <c r="AA44" s="691">
        <v>0</v>
      </c>
      <c r="AB44" s="691">
        <v>0</v>
      </c>
      <c r="AC44" s="691">
        <v>0</v>
      </c>
      <c r="AD44" s="691">
        <v>0</v>
      </c>
      <c r="AE44" s="691">
        <v>0</v>
      </c>
      <c r="AF44" s="691">
        <v>0</v>
      </c>
      <c r="AG44" s="691">
        <v>0</v>
      </c>
      <c r="AH44" s="691">
        <v>0</v>
      </c>
      <c r="AI44" s="691">
        <v>0</v>
      </c>
      <c r="AJ44" s="691">
        <v>0</v>
      </c>
      <c r="AK44" s="691">
        <v>0</v>
      </c>
      <c r="AL44" s="691">
        <v>0</v>
      </c>
      <c r="AM44" s="691">
        <v>0</v>
      </c>
      <c r="AN44" s="691">
        <v>0</v>
      </c>
      <c r="AO44" s="692">
        <v>0</v>
      </c>
      <c r="AP44" s="628"/>
      <c r="AQ44" s="690">
        <v>0</v>
      </c>
      <c r="AR44" s="691">
        <v>0</v>
      </c>
      <c r="AS44" s="691">
        <v>10.20945</v>
      </c>
      <c r="AT44" s="691">
        <v>0</v>
      </c>
      <c r="AU44" s="691">
        <v>0</v>
      </c>
      <c r="AV44" s="691">
        <v>0</v>
      </c>
      <c r="AW44" s="691">
        <v>0</v>
      </c>
      <c r="AX44" s="691">
        <v>0</v>
      </c>
      <c r="AY44" s="691">
        <v>0</v>
      </c>
      <c r="AZ44" s="691">
        <v>0</v>
      </c>
      <c r="BA44" s="691">
        <v>0</v>
      </c>
      <c r="BB44" s="691">
        <v>0</v>
      </c>
      <c r="BC44" s="691">
        <v>0</v>
      </c>
      <c r="BD44" s="691">
        <v>0</v>
      </c>
      <c r="BE44" s="691">
        <v>0</v>
      </c>
      <c r="BF44" s="691">
        <v>0</v>
      </c>
      <c r="BG44" s="691">
        <v>0</v>
      </c>
      <c r="BH44" s="691">
        <v>0</v>
      </c>
      <c r="BI44" s="691">
        <v>0</v>
      </c>
      <c r="BJ44" s="691">
        <v>0</v>
      </c>
      <c r="BK44" s="691">
        <v>0</v>
      </c>
      <c r="BL44" s="691">
        <v>0</v>
      </c>
      <c r="BM44" s="691">
        <v>0</v>
      </c>
      <c r="BN44" s="691">
        <v>0</v>
      </c>
      <c r="BO44" s="691">
        <v>0</v>
      </c>
      <c r="BP44" s="691">
        <v>0</v>
      </c>
      <c r="BQ44" s="691">
        <v>0</v>
      </c>
      <c r="BR44" s="691">
        <v>0</v>
      </c>
      <c r="BS44" s="691">
        <v>0</v>
      </c>
      <c r="BT44" s="692">
        <v>0</v>
      </c>
      <c r="BU44" s="16"/>
    </row>
    <row r="45" spans="2:73" s="17" customFormat="1" ht="15.75" hidden="1" outlineLevel="1">
      <c r="B45" s="752" t="s">
        <v>730</v>
      </c>
      <c r="C45" s="752" t="s">
        <v>731</v>
      </c>
      <c r="D45" s="752" t="s">
        <v>732</v>
      </c>
      <c r="E45" s="752" t="s">
        <v>733</v>
      </c>
      <c r="F45" s="752" t="s">
        <v>29</v>
      </c>
      <c r="G45" s="752" t="s">
        <v>734</v>
      </c>
      <c r="H45" s="752">
        <v>2010</v>
      </c>
      <c r="I45" s="753" t="s">
        <v>569</v>
      </c>
      <c r="J45" s="639" t="s">
        <v>578</v>
      </c>
      <c r="K45" s="628"/>
      <c r="L45" s="690">
        <v>0</v>
      </c>
      <c r="M45" s="691">
        <v>0</v>
      </c>
      <c r="N45" s="691">
        <v>449.6703</v>
      </c>
      <c r="O45" s="691">
        <v>0</v>
      </c>
      <c r="P45" s="691">
        <v>0</v>
      </c>
      <c r="Q45" s="691">
        <v>0</v>
      </c>
      <c r="R45" s="691">
        <v>0</v>
      </c>
      <c r="S45" s="691">
        <v>0</v>
      </c>
      <c r="T45" s="691">
        <v>0</v>
      </c>
      <c r="U45" s="691">
        <v>0</v>
      </c>
      <c r="V45" s="691">
        <v>0</v>
      </c>
      <c r="W45" s="691">
        <v>0</v>
      </c>
      <c r="X45" s="691">
        <v>0</v>
      </c>
      <c r="Y45" s="691">
        <v>0</v>
      </c>
      <c r="Z45" s="691">
        <v>0</v>
      </c>
      <c r="AA45" s="691">
        <v>0</v>
      </c>
      <c r="AB45" s="691">
        <v>0</v>
      </c>
      <c r="AC45" s="691">
        <v>0</v>
      </c>
      <c r="AD45" s="691">
        <v>0</v>
      </c>
      <c r="AE45" s="691">
        <v>0</v>
      </c>
      <c r="AF45" s="691">
        <v>0</v>
      </c>
      <c r="AG45" s="691">
        <v>0</v>
      </c>
      <c r="AH45" s="691">
        <v>0</v>
      </c>
      <c r="AI45" s="691">
        <v>0</v>
      </c>
      <c r="AJ45" s="691">
        <v>0</v>
      </c>
      <c r="AK45" s="691">
        <v>0</v>
      </c>
      <c r="AL45" s="691">
        <v>0</v>
      </c>
      <c r="AM45" s="691">
        <v>0</v>
      </c>
      <c r="AN45" s="691">
        <v>0</v>
      </c>
      <c r="AO45" s="692">
        <v>0</v>
      </c>
      <c r="AP45" s="628"/>
      <c r="AQ45" s="690">
        <v>0</v>
      </c>
      <c r="AR45" s="691">
        <v>0</v>
      </c>
      <c r="AS45" s="691">
        <v>1977.5630000000001</v>
      </c>
      <c r="AT45" s="691">
        <v>0</v>
      </c>
      <c r="AU45" s="691">
        <v>0</v>
      </c>
      <c r="AV45" s="691">
        <v>0</v>
      </c>
      <c r="AW45" s="691">
        <v>0</v>
      </c>
      <c r="AX45" s="691">
        <v>0</v>
      </c>
      <c r="AY45" s="691">
        <v>0</v>
      </c>
      <c r="AZ45" s="691">
        <v>0</v>
      </c>
      <c r="BA45" s="691">
        <v>0</v>
      </c>
      <c r="BB45" s="691">
        <v>0</v>
      </c>
      <c r="BC45" s="691">
        <v>0</v>
      </c>
      <c r="BD45" s="691">
        <v>0</v>
      </c>
      <c r="BE45" s="691">
        <v>0</v>
      </c>
      <c r="BF45" s="691">
        <v>0</v>
      </c>
      <c r="BG45" s="691">
        <v>0</v>
      </c>
      <c r="BH45" s="691">
        <v>0</v>
      </c>
      <c r="BI45" s="691">
        <v>0</v>
      </c>
      <c r="BJ45" s="691">
        <v>0</v>
      </c>
      <c r="BK45" s="691">
        <v>0</v>
      </c>
      <c r="BL45" s="691">
        <v>0</v>
      </c>
      <c r="BM45" s="691">
        <v>0</v>
      </c>
      <c r="BN45" s="691">
        <v>0</v>
      </c>
      <c r="BO45" s="691">
        <v>0</v>
      </c>
      <c r="BP45" s="691">
        <v>0</v>
      </c>
      <c r="BQ45" s="691">
        <v>0</v>
      </c>
      <c r="BR45" s="691">
        <v>0</v>
      </c>
      <c r="BS45" s="691">
        <v>0</v>
      </c>
      <c r="BT45" s="692">
        <v>0</v>
      </c>
      <c r="BU45" s="16"/>
    </row>
    <row r="46" spans="2:73" s="17" customFormat="1" ht="15.75" hidden="1" outlineLevel="1">
      <c r="B46" s="752" t="s">
        <v>730</v>
      </c>
      <c r="C46" s="752" t="s">
        <v>735</v>
      </c>
      <c r="D46" s="752" t="s">
        <v>737</v>
      </c>
      <c r="E46" s="752" t="s">
        <v>733</v>
      </c>
      <c r="F46" s="752" t="s">
        <v>738</v>
      </c>
      <c r="G46" s="752" t="s">
        <v>734</v>
      </c>
      <c r="H46" s="752">
        <v>2010</v>
      </c>
      <c r="I46" s="639" t="s">
        <v>570</v>
      </c>
      <c r="J46" s="639" t="s">
        <v>578</v>
      </c>
      <c r="K46" s="628"/>
      <c r="L46" s="690">
        <v>0</v>
      </c>
      <c r="M46" s="691">
        <v>0</v>
      </c>
      <c r="N46" s="691">
        <v>0</v>
      </c>
      <c r="O46" s="691">
        <v>5.0524490000000002</v>
      </c>
      <c r="P46" s="691">
        <v>0</v>
      </c>
      <c r="Q46" s="691">
        <v>0</v>
      </c>
      <c r="R46" s="691">
        <v>0</v>
      </c>
      <c r="S46" s="691">
        <v>0</v>
      </c>
      <c r="T46" s="691">
        <v>0</v>
      </c>
      <c r="U46" s="691">
        <v>0</v>
      </c>
      <c r="V46" s="691">
        <v>0</v>
      </c>
      <c r="W46" s="691">
        <v>0</v>
      </c>
      <c r="X46" s="691">
        <v>0</v>
      </c>
      <c r="Y46" s="691">
        <v>0</v>
      </c>
      <c r="Z46" s="691">
        <v>0</v>
      </c>
      <c r="AA46" s="691">
        <v>0</v>
      </c>
      <c r="AB46" s="691">
        <v>0</v>
      </c>
      <c r="AC46" s="691">
        <v>0</v>
      </c>
      <c r="AD46" s="691">
        <v>0</v>
      </c>
      <c r="AE46" s="691">
        <v>0</v>
      </c>
      <c r="AF46" s="691">
        <v>0</v>
      </c>
      <c r="AG46" s="691">
        <v>0</v>
      </c>
      <c r="AH46" s="691">
        <v>0</v>
      </c>
      <c r="AI46" s="691">
        <v>0</v>
      </c>
      <c r="AJ46" s="691">
        <v>0</v>
      </c>
      <c r="AK46" s="691">
        <v>0</v>
      </c>
      <c r="AL46" s="691">
        <v>0</v>
      </c>
      <c r="AM46" s="691">
        <v>0</v>
      </c>
      <c r="AN46" s="691">
        <v>0</v>
      </c>
      <c r="AO46" s="692">
        <v>0</v>
      </c>
      <c r="AP46" s="628"/>
      <c r="AQ46" s="690">
        <v>0</v>
      </c>
      <c r="AR46" s="691">
        <v>0</v>
      </c>
      <c r="AS46" s="691">
        <v>0</v>
      </c>
      <c r="AT46" s="691">
        <v>0</v>
      </c>
      <c r="AU46" s="691">
        <v>0</v>
      </c>
      <c r="AV46" s="691">
        <v>0</v>
      </c>
      <c r="AW46" s="691">
        <v>0</v>
      </c>
      <c r="AX46" s="691">
        <v>0</v>
      </c>
      <c r="AY46" s="691">
        <v>0</v>
      </c>
      <c r="AZ46" s="691">
        <v>0</v>
      </c>
      <c r="BA46" s="691">
        <v>0</v>
      </c>
      <c r="BB46" s="691">
        <v>0</v>
      </c>
      <c r="BC46" s="691">
        <v>0</v>
      </c>
      <c r="BD46" s="691">
        <v>0</v>
      </c>
      <c r="BE46" s="691">
        <v>0</v>
      </c>
      <c r="BF46" s="691">
        <v>0</v>
      </c>
      <c r="BG46" s="691">
        <v>0</v>
      </c>
      <c r="BH46" s="691">
        <v>0</v>
      </c>
      <c r="BI46" s="691">
        <v>0</v>
      </c>
      <c r="BJ46" s="691">
        <v>0</v>
      </c>
      <c r="BK46" s="691">
        <v>0</v>
      </c>
      <c r="BL46" s="691">
        <v>0</v>
      </c>
      <c r="BM46" s="691">
        <v>0</v>
      </c>
      <c r="BN46" s="691">
        <v>0</v>
      </c>
      <c r="BO46" s="691">
        <v>0</v>
      </c>
      <c r="BP46" s="691">
        <v>0</v>
      </c>
      <c r="BQ46" s="691">
        <v>0</v>
      </c>
      <c r="BR46" s="691">
        <v>0</v>
      </c>
      <c r="BS46" s="691">
        <v>0</v>
      </c>
      <c r="BT46" s="692">
        <v>0</v>
      </c>
      <c r="BU46" s="16"/>
    </row>
    <row r="47" spans="2:73" s="17" customFormat="1" ht="15.75" hidden="1" outlineLevel="1">
      <c r="B47" s="752" t="s">
        <v>730</v>
      </c>
      <c r="C47" s="752" t="s">
        <v>731</v>
      </c>
      <c r="D47" s="752" t="s">
        <v>42</v>
      </c>
      <c r="E47" s="752" t="s">
        <v>733</v>
      </c>
      <c r="F47" s="752" t="s">
        <v>29</v>
      </c>
      <c r="G47" s="752" t="s">
        <v>734</v>
      </c>
      <c r="H47" s="752">
        <v>2010</v>
      </c>
      <c r="I47" s="639" t="s">
        <v>570</v>
      </c>
      <c r="J47" s="639" t="s">
        <v>578</v>
      </c>
      <c r="K47" s="628"/>
      <c r="L47" s="690">
        <v>0</v>
      </c>
      <c r="M47" s="691">
        <v>0</v>
      </c>
      <c r="N47" s="691">
        <v>0</v>
      </c>
      <c r="O47" s="691">
        <v>336.65910000000002</v>
      </c>
      <c r="P47" s="691">
        <v>0</v>
      </c>
      <c r="Q47" s="691">
        <v>0</v>
      </c>
      <c r="R47" s="691">
        <v>0</v>
      </c>
      <c r="S47" s="691">
        <v>0</v>
      </c>
      <c r="T47" s="691">
        <v>0</v>
      </c>
      <c r="U47" s="691">
        <v>0</v>
      </c>
      <c r="V47" s="691">
        <v>0</v>
      </c>
      <c r="W47" s="691">
        <v>0</v>
      </c>
      <c r="X47" s="691">
        <v>0</v>
      </c>
      <c r="Y47" s="691">
        <v>0</v>
      </c>
      <c r="Z47" s="691">
        <v>0</v>
      </c>
      <c r="AA47" s="691">
        <v>0</v>
      </c>
      <c r="AB47" s="691">
        <v>0</v>
      </c>
      <c r="AC47" s="691">
        <v>0</v>
      </c>
      <c r="AD47" s="691">
        <v>0</v>
      </c>
      <c r="AE47" s="691">
        <v>0</v>
      </c>
      <c r="AF47" s="691">
        <v>0</v>
      </c>
      <c r="AG47" s="691">
        <v>0</v>
      </c>
      <c r="AH47" s="691">
        <v>0</v>
      </c>
      <c r="AI47" s="691">
        <v>0</v>
      </c>
      <c r="AJ47" s="691">
        <v>0</v>
      </c>
      <c r="AK47" s="691">
        <v>0</v>
      </c>
      <c r="AL47" s="691">
        <v>0</v>
      </c>
      <c r="AM47" s="691">
        <v>0</v>
      </c>
      <c r="AN47" s="691">
        <v>0</v>
      </c>
      <c r="AO47" s="692">
        <v>0</v>
      </c>
      <c r="AP47" s="628"/>
      <c r="AQ47" s="690">
        <v>0</v>
      </c>
      <c r="AR47" s="691">
        <v>0</v>
      </c>
      <c r="AS47" s="691">
        <v>0</v>
      </c>
      <c r="AT47" s="691">
        <v>0</v>
      </c>
      <c r="AU47" s="691">
        <v>0</v>
      </c>
      <c r="AV47" s="691">
        <v>0</v>
      </c>
      <c r="AW47" s="691">
        <v>0</v>
      </c>
      <c r="AX47" s="691">
        <v>0</v>
      </c>
      <c r="AY47" s="691">
        <v>0</v>
      </c>
      <c r="AZ47" s="691">
        <v>0</v>
      </c>
      <c r="BA47" s="691">
        <v>0</v>
      </c>
      <c r="BB47" s="691">
        <v>0</v>
      </c>
      <c r="BC47" s="691">
        <v>0</v>
      </c>
      <c r="BD47" s="691">
        <v>0</v>
      </c>
      <c r="BE47" s="691">
        <v>0</v>
      </c>
      <c r="BF47" s="691">
        <v>0</v>
      </c>
      <c r="BG47" s="691">
        <v>0</v>
      </c>
      <c r="BH47" s="691">
        <v>0</v>
      </c>
      <c r="BI47" s="691">
        <v>0</v>
      </c>
      <c r="BJ47" s="691">
        <v>0</v>
      </c>
      <c r="BK47" s="691">
        <v>0</v>
      </c>
      <c r="BL47" s="691">
        <v>0</v>
      </c>
      <c r="BM47" s="691">
        <v>0</v>
      </c>
      <c r="BN47" s="691">
        <v>0</v>
      </c>
      <c r="BO47" s="691">
        <v>0</v>
      </c>
      <c r="BP47" s="691">
        <v>0</v>
      </c>
      <c r="BQ47" s="691">
        <v>0</v>
      </c>
      <c r="BR47" s="691">
        <v>0</v>
      </c>
      <c r="BS47" s="691">
        <v>0</v>
      </c>
      <c r="BT47" s="692">
        <v>0</v>
      </c>
      <c r="BU47" s="16"/>
    </row>
    <row r="48" spans="2:73" s="17" customFormat="1" ht="15.75" hidden="1" outlineLevel="1">
      <c r="B48" s="752" t="s">
        <v>730</v>
      </c>
      <c r="C48" s="752" t="s">
        <v>735</v>
      </c>
      <c r="D48" s="752" t="s">
        <v>737</v>
      </c>
      <c r="E48" s="752" t="s">
        <v>733</v>
      </c>
      <c r="F48" s="752" t="s">
        <v>738</v>
      </c>
      <c r="G48" s="752" t="s">
        <v>734</v>
      </c>
      <c r="H48" s="752">
        <v>2010</v>
      </c>
      <c r="I48" s="639" t="s">
        <v>570</v>
      </c>
      <c r="J48" s="639" t="s">
        <v>578</v>
      </c>
      <c r="K48" s="628"/>
      <c r="L48" s="690">
        <v>0</v>
      </c>
      <c r="M48" s="691">
        <v>0</v>
      </c>
      <c r="N48" s="691">
        <v>0</v>
      </c>
      <c r="O48" s="691">
        <v>0.56138319999999997</v>
      </c>
      <c r="P48" s="691">
        <v>0</v>
      </c>
      <c r="Q48" s="691">
        <v>0</v>
      </c>
      <c r="R48" s="691">
        <v>0</v>
      </c>
      <c r="S48" s="691">
        <v>0</v>
      </c>
      <c r="T48" s="691">
        <v>0</v>
      </c>
      <c r="U48" s="691">
        <v>0</v>
      </c>
      <c r="V48" s="691">
        <v>0</v>
      </c>
      <c r="W48" s="691">
        <v>0</v>
      </c>
      <c r="X48" s="691">
        <v>0</v>
      </c>
      <c r="Y48" s="691">
        <v>0</v>
      </c>
      <c r="Z48" s="691">
        <v>0</v>
      </c>
      <c r="AA48" s="691">
        <v>0</v>
      </c>
      <c r="AB48" s="691">
        <v>0</v>
      </c>
      <c r="AC48" s="691">
        <v>0</v>
      </c>
      <c r="AD48" s="691">
        <v>0</v>
      </c>
      <c r="AE48" s="691">
        <v>0</v>
      </c>
      <c r="AF48" s="691">
        <v>0</v>
      </c>
      <c r="AG48" s="691">
        <v>0</v>
      </c>
      <c r="AH48" s="691">
        <v>0</v>
      </c>
      <c r="AI48" s="691">
        <v>0</v>
      </c>
      <c r="AJ48" s="691">
        <v>0</v>
      </c>
      <c r="AK48" s="691">
        <v>0</v>
      </c>
      <c r="AL48" s="691">
        <v>0</v>
      </c>
      <c r="AM48" s="691">
        <v>0</v>
      </c>
      <c r="AN48" s="691">
        <v>0</v>
      </c>
      <c r="AO48" s="692">
        <v>0</v>
      </c>
      <c r="AP48" s="628"/>
      <c r="AQ48" s="690">
        <v>0</v>
      </c>
      <c r="AR48" s="691">
        <v>0</v>
      </c>
      <c r="AS48" s="691">
        <v>0</v>
      </c>
      <c r="AT48" s="691">
        <v>0</v>
      </c>
      <c r="AU48" s="691">
        <v>0</v>
      </c>
      <c r="AV48" s="691">
        <v>0</v>
      </c>
      <c r="AW48" s="691">
        <v>0</v>
      </c>
      <c r="AX48" s="691">
        <v>0</v>
      </c>
      <c r="AY48" s="691">
        <v>0</v>
      </c>
      <c r="AZ48" s="691">
        <v>0</v>
      </c>
      <c r="BA48" s="691">
        <v>0</v>
      </c>
      <c r="BB48" s="691">
        <v>0</v>
      </c>
      <c r="BC48" s="691">
        <v>0</v>
      </c>
      <c r="BD48" s="691">
        <v>0</v>
      </c>
      <c r="BE48" s="691">
        <v>0</v>
      </c>
      <c r="BF48" s="691">
        <v>0</v>
      </c>
      <c r="BG48" s="691">
        <v>0</v>
      </c>
      <c r="BH48" s="691">
        <v>0</v>
      </c>
      <c r="BI48" s="691">
        <v>0</v>
      </c>
      <c r="BJ48" s="691">
        <v>0</v>
      </c>
      <c r="BK48" s="691">
        <v>0</v>
      </c>
      <c r="BL48" s="691">
        <v>0</v>
      </c>
      <c r="BM48" s="691">
        <v>0</v>
      </c>
      <c r="BN48" s="691">
        <v>0</v>
      </c>
      <c r="BO48" s="691">
        <v>0</v>
      </c>
      <c r="BP48" s="691">
        <v>0</v>
      </c>
      <c r="BQ48" s="691">
        <v>0</v>
      </c>
      <c r="BR48" s="691">
        <v>0</v>
      </c>
      <c r="BS48" s="691">
        <v>0</v>
      </c>
      <c r="BT48" s="692">
        <v>0</v>
      </c>
      <c r="BU48" s="16"/>
    </row>
    <row r="49" spans="2:73" s="17" customFormat="1" ht="15.75" hidden="1" outlineLevel="1">
      <c r="B49" s="752" t="s">
        <v>730</v>
      </c>
      <c r="C49" s="752" t="s">
        <v>731</v>
      </c>
      <c r="D49" s="752" t="s">
        <v>42</v>
      </c>
      <c r="E49" s="752" t="s">
        <v>733</v>
      </c>
      <c r="F49" s="752" t="s">
        <v>29</v>
      </c>
      <c r="G49" s="752" t="s">
        <v>734</v>
      </c>
      <c r="H49" s="752">
        <v>2010</v>
      </c>
      <c r="I49" s="639" t="s">
        <v>570</v>
      </c>
      <c r="J49" s="639" t="s">
        <v>578</v>
      </c>
      <c r="K49" s="628"/>
      <c r="L49" s="690">
        <v>0</v>
      </c>
      <c r="M49" s="691">
        <v>0</v>
      </c>
      <c r="N49" s="691">
        <v>0</v>
      </c>
      <c r="O49" s="691">
        <v>174.9667</v>
      </c>
      <c r="P49" s="691">
        <v>0</v>
      </c>
      <c r="Q49" s="691">
        <v>0</v>
      </c>
      <c r="R49" s="691">
        <v>0</v>
      </c>
      <c r="S49" s="691">
        <v>0</v>
      </c>
      <c r="T49" s="691">
        <v>0</v>
      </c>
      <c r="U49" s="691">
        <v>0</v>
      </c>
      <c r="V49" s="691">
        <v>0</v>
      </c>
      <c r="W49" s="691">
        <v>0</v>
      </c>
      <c r="X49" s="691">
        <v>0</v>
      </c>
      <c r="Y49" s="691">
        <v>0</v>
      </c>
      <c r="Z49" s="691">
        <v>0</v>
      </c>
      <c r="AA49" s="691">
        <v>0</v>
      </c>
      <c r="AB49" s="691">
        <v>0</v>
      </c>
      <c r="AC49" s="691">
        <v>0</v>
      </c>
      <c r="AD49" s="691">
        <v>0</v>
      </c>
      <c r="AE49" s="691">
        <v>0</v>
      </c>
      <c r="AF49" s="691">
        <v>0</v>
      </c>
      <c r="AG49" s="691">
        <v>0</v>
      </c>
      <c r="AH49" s="691">
        <v>0</v>
      </c>
      <c r="AI49" s="691">
        <v>0</v>
      </c>
      <c r="AJ49" s="691">
        <v>0</v>
      </c>
      <c r="AK49" s="691">
        <v>0</v>
      </c>
      <c r="AL49" s="691">
        <v>0</v>
      </c>
      <c r="AM49" s="691">
        <v>0</v>
      </c>
      <c r="AN49" s="691">
        <v>0</v>
      </c>
      <c r="AO49" s="692">
        <v>0</v>
      </c>
      <c r="AP49" s="628"/>
      <c r="AQ49" s="690">
        <v>0</v>
      </c>
      <c r="AR49" s="691">
        <v>0</v>
      </c>
      <c r="AS49" s="691">
        <v>0</v>
      </c>
      <c r="AT49" s="691">
        <v>0</v>
      </c>
      <c r="AU49" s="691">
        <v>0</v>
      </c>
      <c r="AV49" s="691">
        <v>0</v>
      </c>
      <c r="AW49" s="691">
        <v>0</v>
      </c>
      <c r="AX49" s="691">
        <v>0</v>
      </c>
      <c r="AY49" s="691">
        <v>0</v>
      </c>
      <c r="AZ49" s="691">
        <v>0</v>
      </c>
      <c r="BA49" s="691">
        <v>0</v>
      </c>
      <c r="BB49" s="691">
        <v>0</v>
      </c>
      <c r="BC49" s="691">
        <v>0</v>
      </c>
      <c r="BD49" s="691">
        <v>0</v>
      </c>
      <c r="BE49" s="691">
        <v>0</v>
      </c>
      <c r="BF49" s="691">
        <v>0</v>
      </c>
      <c r="BG49" s="691">
        <v>0</v>
      </c>
      <c r="BH49" s="691">
        <v>0</v>
      </c>
      <c r="BI49" s="691">
        <v>0</v>
      </c>
      <c r="BJ49" s="691">
        <v>0</v>
      </c>
      <c r="BK49" s="691">
        <v>0</v>
      </c>
      <c r="BL49" s="691">
        <v>0</v>
      </c>
      <c r="BM49" s="691">
        <v>0</v>
      </c>
      <c r="BN49" s="691">
        <v>0</v>
      </c>
      <c r="BO49" s="691">
        <v>0</v>
      </c>
      <c r="BP49" s="691">
        <v>0</v>
      </c>
      <c r="BQ49" s="691">
        <v>0</v>
      </c>
      <c r="BR49" s="691">
        <v>0</v>
      </c>
      <c r="BS49" s="691">
        <v>0</v>
      </c>
      <c r="BT49" s="692">
        <v>0</v>
      </c>
      <c r="BU49" s="16"/>
    </row>
    <row r="50" spans="2:73" s="17" customFormat="1" ht="15.75" hidden="1" outlineLevel="1">
      <c r="B50" s="752" t="s">
        <v>730</v>
      </c>
      <c r="C50" s="752" t="s">
        <v>731</v>
      </c>
      <c r="D50" s="752" t="s">
        <v>2</v>
      </c>
      <c r="E50" s="752" t="s">
        <v>733</v>
      </c>
      <c r="F50" s="752" t="s">
        <v>29</v>
      </c>
      <c r="G50" s="752" t="s">
        <v>739</v>
      </c>
      <c r="H50" s="752">
        <v>2011</v>
      </c>
      <c r="I50" s="639" t="s">
        <v>567</v>
      </c>
      <c r="J50" s="639" t="s">
        <v>585</v>
      </c>
      <c r="K50" s="628"/>
      <c r="L50" s="690">
        <v>6.9885629741930746</v>
      </c>
      <c r="M50" s="691">
        <v>6.9885629741930746</v>
      </c>
      <c r="N50" s="691">
        <v>6.9885629741930746</v>
      </c>
      <c r="O50" s="691">
        <v>2.6003949831621713</v>
      </c>
      <c r="P50" s="691">
        <v>0</v>
      </c>
      <c r="Q50" s="691">
        <v>0</v>
      </c>
      <c r="R50" s="691">
        <v>0</v>
      </c>
      <c r="S50" s="691">
        <v>0</v>
      </c>
      <c r="T50" s="691">
        <v>0</v>
      </c>
      <c r="U50" s="691">
        <v>0</v>
      </c>
      <c r="V50" s="691">
        <v>0</v>
      </c>
      <c r="W50" s="691">
        <v>0</v>
      </c>
      <c r="X50" s="691">
        <v>0</v>
      </c>
      <c r="Y50" s="691">
        <v>0</v>
      </c>
      <c r="Z50" s="691">
        <v>0</v>
      </c>
      <c r="AA50" s="691">
        <v>0</v>
      </c>
      <c r="AB50" s="691">
        <v>0</v>
      </c>
      <c r="AC50" s="691">
        <v>0</v>
      </c>
      <c r="AD50" s="691">
        <v>0</v>
      </c>
      <c r="AE50" s="691">
        <v>0</v>
      </c>
      <c r="AF50" s="691">
        <v>0</v>
      </c>
      <c r="AG50" s="691">
        <v>0</v>
      </c>
      <c r="AH50" s="691">
        <v>0</v>
      </c>
      <c r="AI50" s="691">
        <v>0</v>
      </c>
      <c r="AJ50" s="691">
        <v>0</v>
      </c>
      <c r="AK50" s="691">
        <v>0</v>
      </c>
      <c r="AL50" s="691">
        <v>0</v>
      </c>
      <c r="AM50" s="691">
        <v>0</v>
      </c>
      <c r="AN50" s="691">
        <v>0</v>
      </c>
      <c r="AO50" s="692">
        <v>0</v>
      </c>
      <c r="AP50" s="628"/>
      <c r="AQ50" s="690">
        <v>8560.8035168923561</v>
      </c>
      <c r="AR50" s="691">
        <v>8560.8035168923561</v>
      </c>
      <c r="AS50" s="691">
        <v>8560.8035168923561</v>
      </c>
      <c r="AT50" s="691">
        <v>4636.664893805485</v>
      </c>
      <c r="AU50" s="691">
        <v>0</v>
      </c>
      <c r="AV50" s="691">
        <v>0</v>
      </c>
      <c r="AW50" s="691">
        <v>0</v>
      </c>
      <c r="AX50" s="691">
        <v>0</v>
      </c>
      <c r="AY50" s="691">
        <v>0</v>
      </c>
      <c r="AZ50" s="691">
        <v>0</v>
      </c>
      <c r="BA50" s="691">
        <v>0</v>
      </c>
      <c r="BB50" s="691">
        <v>0</v>
      </c>
      <c r="BC50" s="691">
        <v>0</v>
      </c>
      <c r="BD50" s="691">
        <v>0</v>
      </c>
      <c r="BE50" s="691">
        <v>0</v>
      </c>
      <c r="BF50" s="691">
        <v>0</v>
      </c>
      <c r="BG50" s="691">
        <v>0</v>
      </c>
      <c r="BH50" s="691">
        <v>0</v>
      </c>
      <c r="BI50" s="691">
        <v>0</v>
      </c>
      <c r="BJ50" s="691">
        <v>0</v>
      </c>
      <c r="BK50" s="691">
        <v>0</v>
      </c>
      <c r="BL50" s="691">
        <v>0</v>
      </c>
      <c r="BM50" s="691">
        <v>0</v>
      </c>
      <c r="BN50" s="691">
        <v>0</v>
      </c>
      <c r="BO50" s="691">
        <v>0</v>
      </c>
      <c r="BP50" s="691">
        <v>0</v>
      </c>
      <c r="BQ50" s="691">
        <v>0</v>
      </c>
      <c r="BR50" s="691">
        <v>0</v>
      </c>
      <c r="BS50" s="691">
        <v>0</v>
      </c>
      <c r="BT50" s="692">
        <v>0</v>
      </c>
      <c r="BU50" s="16"/>
    </row>
    <row r="51" spans="2:73" s="17" customFormat="1" ht="15.75" hidden="1" outlineLevel="1">
      <c r="B51" s="752" t="s">
        <v>730</v>
      </c>
      <c r="C51" s="752" t="s">
        <v>731</v>
      </c>
      <c r="D51" s="752" t="s">
        <v>1</v>
      </c>
      <c r="E51" s="752" t="s">
        <v>733</v>
      </c>
      <c r="F51" s="752" t="s">
        <v>29</v>
      </c>
      <c r="G51" s="752" t="s">
        <v>739</v>
      </c>
      <c r="H51" s="752">
        <v>2011</v>
      </c>
      <c r="I51" s="639" t="s">
        <v>567</v>
      </c>
      <c r="J51" s="639" t="s">
        <v>585</v>
      </c>
      <c r="K51" s="628"/>
      <c r="L51" s="690">
        <v>35.962915018326093</v>
      </c>
      <c r="M51" s="691">
        <v>35.962915018326093</v>
      </c>
      <c r="N51" s="691">
        <v>35.962915018326093</v>
      </c>
      <c r="O51" s="691">
        <v>34.943958223286799</v>
      </c>
      <c r="P51" s="691">
        <v>24.550858745825472</v>
      </c>
      <c r="Q51" s="691">
        <v>0</v>
      </c>
      <c r="R51" s="691">
        <v>0</v>
      </c>
      <c r="S51" s="691">
        <v>0</v>
      </c>
      <c r="T51" s="691">
        <v>0</v>
      </c>
      <c r="U51" s="691">
        <v>0</v>
      </c>
      <c r="V51" s="691">
        <v>0</v>
      </c>
      <c r="W51" s="691">
        <v>0</v>
      </c>
      <c r="X51" s="691">
        <v>0</v>
      </c>
      <c r="Y51" s="691">
        <v>0</v>
      </c>
      <c r="Z51" s="691">
        <v>0</v>
      </c>
      <c r="AA51" s="691">
        <v>0</v>
      </c>
      <c r="AB51" s="691">
        <v>0</v>
      </c>
      <c r="AC51" s="691">
        <v>0</v>
      </c>
      <c r="AD51" s="691">
        <v>0</v>
      </c>
      <c r="AE51" s="691">
        <v>0</v>
      </c>
      <c r="AF51" s="691">
        <v>0</v>
      </c>
      <c r="AG51" s="691">
        <v>0</v>
      </c>
      <c r="AH51" s="691">
        <v>0</v>
      </c>
      <c r="AI51" s="691">
        <v>0</v>
      </c>
      <c r="AJ51" s="691">
        <v>0</v>
      </c>
      <c r="AK51" s="691">
        <v>0</v>
      </c>
      <c r="AL51" s="691">
        <v>0</v>
      </c>
      <c r="AM51" s="691">
        <v>0</v>
      </c>
      <c r="AN51" s="691">
        <v>0</v>
      </c>
      <c r="AO51" s="692">
        <v>0</v>
      </c>
      <c r="AP51" s="628"/>
      <c r="AQ51" s="690">
        <v>262506.3124313298</v>
      </c>
      <c r="AR51" s="691">
        <v>262506.3124313298</v>
      </c>
      <c r="AS51" s="691">
        <v>262506.3124313298</v>
      </c>
      <c r="AT51" s="691">
        <v>261595.10581325053</v>
      </c>
      <c r="AU51" s="691">
        <v>186727.33803115992</v>
      </c>
      <c r="AV51" s="691">
        <v>0</v>
      </c>
      <c r="AW51" s="691">
        <v>0</v>
      </c>
      <c r="AX51" s="691">
        <v>0</v>
      </c>
      <c r="AY51" s="691">
        <v>0</v>
      </c>
      <c r="AZ51" s="691">
        <v>0</v>
      </c>
      <c r="BA51" s="691">
        <v>0</v>
      </c>
      <c r="BB51" s="691">
        <v>0</v>
      </c>
      <c r="BC51" s="691">
        <v>0</v>
      </c>
      <c r="BD51" s="691">
        <v>0</v>
      </c>
      <c r="BE51" s="691">
        <v>0</v>
      </c>
      <c r="BF51" s="691">
        <v>0</v>
      </c>
      <c r="BG51" s="691">
        <v>0</v>
      </c>
      <c r="BH51" s="691">
        <v>0</v>
      </c>
      <c r="BI51" s="691">
        <v>0</v>
      </c>
      <c r="BJ51" s="691">
        <v>0</v>
      </c>
      <c r="BK51" s="691">
        <v>0</v>
      </c>
      <c r="BL51" s="691">
        <v>0</v>
      </c>
      <c r="BM51" s="691">
        <v>0</v>
      </c>
      <c r="BN51" s="691">
        <v>0</v>
      </c>
      <c r="BO51" s="691">
        <v>0</v>
      </c>
      <c r="BP51" s="691">
        <v>0</v>
      </c>
      <c r="BQ51" s="691">
        <v>0</v>
      </c>
      <c r="BR51" s="691">
        <v>0</v>
      </c>
      <c r="BS51" s="691">
        <v>0</v>
      </c>
      <c r="BT51" s="692">
        <v>0</v>
      </c>
      <c r="BU51" s="16"/>
    </row>
    <row r="52" spans="2:73" s="17" customFormat="1" ht="15.75" hidden="1" outlineLevel="1">
      <c r="B52" s="752" t="s">
        <v>730</v>
      </c>
      <c r="C52" s="752" t="s">
        <v>731</v>
      </c>
      <c r="D52" s="752" t="s">
        <v>5</v>
      </c>
      <c r="E52" s="752" t="s">
        <v>733</v>
      </c>
      <c r="F52" s="752" t="s">
        <v>29</v>
      </c>
      <c r="G52" s="752" t="s">
        <v>739</v>
      </c>
      <c r="H52" s="752">
        <v>2011</v>
      </c>
      <c r="I52" s="639" t="s">
        <v>567</v>
      </c>
      <c r="J52" s="639" t="s">
        <v>585</v>
      </c>
      <c r="K52" s="628"/>
      <c r="L52" s="690">
        <v>27.4250937914513</v>
      </c>
      <c r="M52" s="691">
        <v>27.4250937914513</v>
      </c>
      <c r="N52" s="691">
        <v>27.4250937914513</v>
      </c>
      <c r="O52" s="691">
        <v>27.4250937914513</v>
      </c>
      <c r="P52" s="691">
        <v>25.51480978718682</v>
      </c>
      <c r="Q52" s="691">
        <v>23.427904979319269</v>
      </c>
      <c r="R52" s="691">
        <v>18.950427947124663</v>
      </c>
      <c r="S52" s="691">
        <v>18.827044288056452</v>
      </c>
      <c r="T52" s="691">
        <v>22.824233100188486</v>
      </c>
      <c r="U52" s="691">
        <v>10.827046659641892</v>
      </c>
      <c r="V52" s="691">
        <v>1.5397092675054158</v>
      </c>
      <c r="W52" s="691">
        <v>1.539068822938265</v>
      </c>
      <c r="X52" s="691">
        <v>1.539068822938265</v>
      </c>
      <c r="Y52" s="691">
        <v>1.4285285630219771</v>
      </c>
      <c r="Z52" s="691">
        <v>1.4285285630219771</v>
      </c>
      <c r="AA52" s="691">
        <v>1.2057310630151372</v>
      </c>
      <c r="AB52" s="691">
        <v>0</v>
      </c>
      <c r="AC52" s="691">
        <v>0</v>
      </c>
      <c r="AD52" s="691">
        <v>0</v>
      </c>
      <c r="AE52" s="691">
        <v>0</v>
      </c>
      <c r="AF52" s="691">
        <v>0</v>
      </c>
      <c r="AG52" s="691">
        <v>0</v>
      </c>
      <c r="AH52" s="691">
        <v>0</v>
      </c>
      <c r="AI52" s="691">
        <v>0</v>
      </c>
      <c r="AJ52" s="691">
        <v>0</v>
      </c>
      <c r="AK52" s="691">
        <v>0</v>
      </c>
      <c r="AL52" s="691">
        <v>0</v>
      </c>
      <c r="AM52" s="691">
        <v>0</v>
      </c>
      <c r="AN52" s="691">
        <v>0</v>
      </c>
      <c r="AO52" s="692">
        <v>0</v>
      </c>
      <c r="AP52" s="628"/>
      <c r="AQ52" s="690">
        <v>479312.86223310482</v>
      </c>
      <c r="AR52" s="691">
        <v>479312.86223310482</v>
      </c>
      <c r="AS52" s="691">
        <v>479312.86223310482</v>
      </c>
      <c r="AT52" s="691">
        <v>479312.86223310482</v>
      </c>
      <c r="AU52" s="691">
        <v>438056.65717455623</v>
      </c>
      <c r="AV52" s="691">
        <v>392985.99098102079</v>
      </c>
      <c r="AW52" s="691">
        <v>296286.38496809878</v>
      </c>
      <c r="AX52" s="691">
        <v>295205.54411466123</v>
      </c>
      <c r="AY52" s="691">
        <v>381532.41536674538</v>
      </c>
      <c r="AZ52" s="691">
        <v>122430.42696507648</v>
      </c>
      <c r="BA52" s="691">
        <v>44083.235847399686</v>
      </c>
      <c r="BB52" s="691">
        <v>38805.239968394817</v>
      </c>
      <c r="BC52" s="691">
        <v>38805.239968394817</v>
      </c>
      <c r="BD52" s="691">
        <v>28659.299602197825</v>
      </c>
      <c r="BE52" s="691">
        <v>28659.299602197825</v>
      </c>
      <c r="BF52" s="691">
        <v>26040.048427441678</v>
      </c>
      <c r="BG52" s="691">
        <v>0</v>
      </c>
      <c r="BH52" s="691">
        <v>0</v>
      </c>
      <c r="BI52" s="691">
        <v>0</v>
      </c>
      <c r="BJ52" s="691">
        <v>0</v>
      </c>
      <c r="BK52" s="691">
        <v>0</v>
      </c>
      <c r="BL52" s="691">
        <v>0</v>
      </c>
      <c r="BM52" s="691">
        <v>0</v>
      </c>
      <c r="BN52" s="691">
        <v>0</v>
      </c>
      <c r="BO52" s="691">
        <v>0</v>
      </c>
      <c r="BP52" s="691">
        <v>0</v>
      </c>
      <c r="BQ52" s="691">
        <v>0</v>
      </c>
      <c r="BR52" s="691">
        <v>0</v>
      </c>
      <c r="BS52" s="691">
        <v>0</v>
      </c>
      <c r="BT52" s="692">
        <v>0</v>
      </c>
      <c r="BU52" s="16"/>
    </row>
    <row r="53" spans="2:73" hidden="1" outlineLevel="1">
      <c r="B53" s="752" t="s">
        <v>730</v>
      </c>
      <c r="C53" s="752" t="s">
        <v>731</v>
      </c>
      <c r="D53" s="752" t="s">
        <v>4</v>
      </c>
      <c r="E53" s="752" t="s">
        <v>733</v>
      </c>
      <c r="F53" s="752" t="s">
        <v>29</v>
      </c>
      <c r="G53" s="752" t="s">
        <v>739</v>
      </c>
      <c r="H53" s="752">
        <v>2011</v>
      </c>
      <c r="I53" s="639" t="s">
        <v>567</v>
      </c>
      <c r="J53" s="639" t="s">
        <v>585</v>
      </c>
      <c r="K53" s="628"/>
      <c r="L53" s="690">
        <v>18.901692690209543</v>
      </c>
      <c r="M53" s="691">
        <v>18.901692690209543</v>
      </c>
      <c r="N53" s="691">
        <v>18.901692690209543</v>
      </c>
      <c r="O53" s="691">
        <v>18.901692690209543</v>
      </c>
      <c r="P53" s="691">
        <v>17.766079770228057</v>
      </c>
      <c r="Q53" s="691">
        <v>16.525470490510845</v>
      </c>
      <c r="R53" s="691">
        <v>13.952410964232683</v>
      </c>
      <c r="S53" s="691">
        <v>13.806309044129691</v>
      </c>
      <c r="T53" s="691">
        <v>16.182531243828382</v>
      </c>
      <c r="U53" s="691">
        <v>9.05052370207172</v>
      </c>
      <c r="V53" s="691">
        <v>1.111818990872405</v>
      </c>
      <c r="W53" s="691">
        <v>1.1111149368782336</v>
      </c>
      <c r="X53" s="691">
        <v>1.1111149368782336</v>
      </c>
      <c r="Y53" s="691">
        <v>1.0900111427288275</v>
      </c>
      <c r="Z53" s="691">
        <v>1.0900111427288275</v>
      </c>
      <c r="AA53" s="691">
        <v>1.0352285528715863</v>
      </c>
      <c r="AB53" s="691">
        <v>0</v>
      </c>
      <c r="AC53" s="691">
        <v>0</v>
      </c>
      <c r="AD53" s="691">
        <v>0</v>
      </c>
      <c r="AE53" s="691">
        <v>0</v>
      </c>
      <c r="AF53" s="691">
        <v>0</v>
      </c>
      <c r="AG53" s="691">
        <v>0</v>
      </c>
      <c r="AH53" s="691">
        <v>0</v>
      </c>
      <c r="AI53" s="691">
        <v>0</v>
      </c>
      <c r="AJ53" s="691">
        <v>0</v>
      </c>
      <c r="AK53" s="691">
        <v>0</v>
      </c>
      <c r="AL53" s="691">
        <v>0</v>
      </c>
      <c r="AM53" s="691">
        <v>0</v>
      </c>
      <c r="AN53" s="691">
        <v>0</v>
      </c>
      <c r="AO53" s="692">
        <v>0</v>
      </c>
      <c r="AP53" s="628"/>
      <c r="AQ53" s="690">
        <v>305679.32824966602</v>
      </c>
      <c r="AR53" s="691">
        <v>305679.32824966602</v>
      </c>
      <c r="AS53" s="691">
        <v>305679.32824966602</v>
      </c>
      <c r="AT53" s="691">
        <v>305679.32824966602</v>
      </c>
      <c r="AU53" s="691">
        <v>281153.61406826472</v>
      </c>
      <c r="AV53" s="691">
        <v>254360.30442043647</v>
      </c>
      <c r="AW53" s="691">
        <v>198790.205311086</v>
      </c>
      <c r="AX53" s="691">
        <v>197510.35249098376</v>
      </c>
      <c r="AY53" s="691">
        <v>248829.37632021334</v>
      </c>
      <c r="AZ53" s="691">
        <v>94800.150841188326</v>
      </c>
      <c r="BA53" s="691">
        <v>30740.980896537218</v>
      </c>
      <c r="BB53" s="691">
        <v>24938.770571973091</v>
      </c>
      <c r="BC53" s="691">
        <v>24938.770571973091</v>
      </c>
      <c r="BD53" s="691">
        <v>23001.758327723597</v>
      </c>
      <c r="BE53" s="691">
        <v>23001.758327723597</v>
      </c>
      <c r="BF53" s="691">
        <v>22357.723440279358</v>
      </c>
      <c r="BG53" s="691">
        <v>0</v>
      </c>
      <c r="BH53" s="691">
        <v>0</v>
      </c>
      <c r="BI53" s="691">
        <v>0</v>
      </c>
      <c r="BJ53" s="691">
        <v>0</v>
      </c>
      <c r="BK53" s="691">
        <v>0</v>
      </c>
      <c r="BL53" s="691">
        <v>0</v>
      </c>
      <c r="BM53" s="691">
        <v>0</v>
      </c>
      <c r="BN53" s="691">
        <v>0</v>
      </c>
      <c r="BO53" s="691">
        <v>0</v>
      </c>
      <c r="BP53" s="691">
        <v>0</v>
      </c>
      <c r="BQ53" s="691">
        <v>0</v>
      </c>
      <c r="BR53" s="691">
        <v>0</v>
      </c>
      <c r="BS53" s="691">
        <v>0</v>
      </c>
      <c r="BT53" s="692">
        <v>0</v>
      </c>
    </row>
    <row r="54" spans="2:73" hidden="1" outlineLevel="1">
      <c r="B54" s="752" t="s">
        <v>730</v>
      </c>
      <c r="C54" s="752" t="s">
        <v>731</v>
      </c>
      <c r="D54" s="752" t="s">
        <v>3</v>
      </c>
      <c r="E54" s="752" t="s">
        <v>733</v>
      </c>
      <c r="F54" s="752" t="s">
        <v>29</v>
      </c>
      <c r="G54" s="752" t="s">
        <v>739</v>
      </c>
      <c r="H54" s="752">
        <v>2011</v>
      </c>
      <c r="I54" s="639" t="s">
        <v>567</v>
      </c>
      <c r="J54" s="639" t="s">
        <v>585</v>
      </c>
      <c r="K54" s="628"/>
      <c r="L54" s="690">
        <v>641.92259522546397</v>
      </c>
      <c r="M54" s="691">
        <v>641.92259522546397</v>
      </c>
      <c r="N54" s="691">
        <v>641.92259522546397</v>
      </c>
      <c r="O54" s="691">
        <v>641.92259522546397</v>
      </c>
      <c r="P54" s="691">
        <v>641.92259522546397</v>
      </c>
      <c r="Q54" s="691">
        <v>641.92259522546397</v>
      </c>
      <c r="R54" s="691">
        <v>641.92259522546397</v>
      </c>
      <c r="S54" s="691">
        <v>641.92259522546397</v>
      </c>
      <c r="T54" s="691">
        <v>641.92259522546397</v>
      </c>
      <c r="U54" s="691">
        <v>641.92259522546397</v>
      </c>
      <c r="V54" s="691">
        <v>641.92259522546397</v>
      </c>
      <c r="W54" s="691">
        <v>641.92259522546397</v>
      </c>
      <c r="X54" s="691">
        <v>641.92259522546397</v>
      </c>
      <c r="Y54" s="691">
        <v>641.92259522546397</v>
      </c>
      <c r="Z54" s="691">
        <v>641.92259522546397</v>
      </c>
      <c r="AA54" s="691">
        <v>641.92259522546397</v>
      </c>
      <c r="AB54" s="691">
        <v>641.92259522546397</v>
      </c>
      <c r="AC54" s="691">
        <v>641.92259522546397</v>
      </c>
      <c r="AD54" s="691">
        <v>520.67919693327667</v>
      </c>
      <c r="AE54" s="691">
        <v>0</v>
      </c>
      <c r="AF54" s="691">
        <v>0</v>
      </c>
      <c r="AG54" s="691">
        <v>0</v>
      </c>
      <c r="AH54" s="691">
        <v>0</v>
      </c>
      <c r="AI54" s="691">
        <v>0</v>
      </c>
      <c r="AJ54" s="691">
        <v>0</v>
      </c>
      <c r="AK54" s="691">
        <v>0</v>
      </c>
      <c r="AL54" s="691">
        <v>0</v>
      </c>
      <c r="AM54" s="691">
        <v>0</v>
      </c>
      <c r="AN54" s="691">
        <v>0</v>
      </c>
      <c r="AO54" s="692">
        <v>0</v>
      </c>
      <c r="AP54" s="628"/>
      <c r="AQ54" s="690">
        <v>1178372.1744378607</v>
      </c>
      <c r="AR54" s="691">
        <v>1178372.1744378607</v>
      </c>
      <c r="AS54" s="691">
        <v>1178372.1744378607</v>
      </c>
      <c r="AT54" s="691">
        <v>1178372.1744378607</v>
      </c>
      <c r="AU54" s="691">
        <v>1178372.1744378607</v>
      </c>
      <c r="AV54" s="691">
        <v>1178372.1744378607</v>
      </c>
      <c r="AW54" s="691">
        <v>1178372.1744378607</v>
      </c>
      <c r="AX54" s="691">
        <v>1178372.1744378607</v>
      </c>
      <c r="AY54" s="691">
        <v>1178372.1744378607</v>
      </c>
      <c r="AZ54" s="691">
        <v>1178372.1744378607</v>
      </c>
      <c r="BA54" s="691">
        <v>1178372.1744378607</v>
      </c>
      <c r="BB54" s="691">
        <v>1178372.1744378607</v>
      </c>
      <c r="BC54" s="691">
        <v>1178372.1744378607</v>
      </c>
      <c r="BD54" s="691">
        <v>1178372.1744378607</v>
      </c>
      <c r="BE54" s="691">
        <v>1178372.1744378607</v>
      </c>
      <c r="BF54" s="691">
        <v>1178372.1744378607</v>
      </c>
      <c r="BG54" s="691">
        <v>1178372.1744378607</v>
      </c>
      <c r="BH54" s="691">
        <v>1178372.1744378607</v>
      </c>
      <c r="BI54" s="691">
        <v>1069933.668989213</v>
      </c>
      <c r="BJ54" s="691">
        <v>0</v>
      </c>
      <c r="BK54" s="691">
        <v>0</v>
      </c>
      <c r="BL54" s="691">
        <v>0</v>
      </c>
      <c r="BM54" s="691">
        <v>0</v>
      </c>
      <c r="BN54" s="691">
        <v>0</v>
      </c>
      <c r="BO54" s="691">
        <v>0</v>
      </c>
      <c r="BP54" s="691">
        <v>0</v>
      </c>
      <c r="BQ54" s="691">
        <v>0</v>
      </c>
      <c r="BR54" s="691">
        <v>0</v>
      </c>
      <c r="BS54" s="691">
        <v>0</v>
      </c>
      <c r="BT54" s="692">
        <v>0</v>
      </c>
    </row>
    <row r="55" spans="2:73" hidden="1" outlineLevel="1">
      <c r="B55" s="752" t="s">
        <v>740</v>
      </c>
      <c r="C55" s="752" t="s">
        <v>731</v>
      </c>
      <c r="D55" s="752" t="s">
        <v>42</v>
      </c>
      <c r="E55" s="752" t="s">
        <v>733</v>
      </c>
      <c r="F55" s="752" t="s">
        <v>29</v>
      </c>
      <c r="G55" s="752" t="s">
        <v>734</v>
      </c>
      <c r="H55" s="752">
        <v>2011</v>
      </c>
      <c r="I55" s="639" t="s">
        <v>567</v>
      </c>
      <c r="J55" s="639" t="s">
        <v>585</v>
      </c>
      <c r="K55" s="628"/>
      <c r="L55" s="690">
        <v>151.76000000000002</v>
      </c>
      <c r="M55" s="691">
        <v>0</v>
      </c>
      <c r="N55" s="691">
        <v>0</v>
      </c>
      <c r="O55" s="691">
        <v>0</v>
      </c>
      <c r="P55" s="691">
        <v>0</v>
      </c>
      <c r="Q55" s="691">
        <v>0</v>
      </c>
      <c r="R55" s="691">
        <v>0</v>
      </c>
      <c r="S55" s="691">
        <v>0</v>
      </c>
      <c r="T55" s="691">
        <v>0</v>
      </c>
      <c r="U55" s="691">
        <v>0</v>
      </c>
      <c r="V55" s="691">
        <v>0</v>
      </c>
      <c r="W55" s="691">
        <v>0</v>
      </c>
      <c r="X55" s="691">
        <v>0</v>
      </c>
      <c r="Y55" s="691">
        <v>0</v>
      </c>
      <c r="Z55" s="691">
        <v>0</v>
      </c>
      <c r="AA55" s="691">
        <v>0</v>
      </c>
      <c r="AB55" s="691">
        <v>0</v>
      </c>
      <c r="AC55" s="691">
        <v>0</v>
      </c>
      <c r="AD55" s="691">
        <v>0</v>
      </c>
      <c r="AE55" s="691">
        <v>0</v>
      </c>
      <c r="AF55" s="691">
        <v>0</v>
      </c>
      <c r="AG55" s="691">
        <v>0</v>
      </c>
      <c r="AH55" s="691">
        <v>0</v>
      </c>
      <c r="AI55" s="691">
        <v>0</v>
      </c>
      <c r="AJ55" s="691">
        <v>0</v>
      </c>
      <c r="AK55" s="691">
        <v>0</v>
      </c>
      <c r="AL55" s="691">
        <v>0</v>
      </c>
      <c r="AM55" s="691">
        <v>0</v>
      </c>
      <c r="AN55" s="691">
        <v>0</v>
      </c>
      <c r="AO55" s="692">
        <v>0</v>
      </c>
      <c r="AP55" s="628"/>
      <c r="AQ55" s="690">
        <v>0</v>
      </c>
      <c r="AR55" s="691">
        <v>0</v>
      </c>
      <c r="AS55" s="691">
        <v>0</v>
      </c>
      <c r="AT55" s="691">
        <v>0</v>
      </c>
      <c r="AU55" s="691">
        <v>0</v>
      </c>
      <c r="AV55" s="691">
        <v>0</v>
      </c>
      <c r="AW55" s="691">
        <v>0</v>
      </c>
      <c r="AX55" s="691">
        <v>0</v>
      </c>
      <c r="AY55" s="691">
        <v>0</v>
      </c>
      <c r="AZ55" s="691">
        <v>0</v>
      </c>
      <c r="BA55" s="691">
        <v>0</v>
      </c>
      <c r="BB55" s="691">
        <v>0</v>
      </c>
      <c r="BC55" s="691">
        <v>0</v>
      </c>
      <c r="BD55" s="691">
        <v>0</v>
      </c>
      <c r="BE55" s="691">
        <v>0</v>
      </c>
      <c r="BF55" s="691">
        <v>0</v>
      </c>
      <c r="BG55" s="691">
        <v>0</v>
      </c>
      <c r="BH55" s="691">
        <v>0</v>
      </c>
      <c r="BI55" s="691">
        <v>0</v>
      </c>
      <c r="BJ55" s="691">
        <v>0</v>
      </c>
      <c r="BK55" s="691">
        <v>0</v>
      </c>
      <c r="BL55" s="691">
        <v>0</v>
      </c>
      <c r="BM55" s="691">
        <v>0</v>
      </c>
      <c r="BN55" s="691">
        <v>0</v>
      </c>
      <c r="BO55" s="691">
        <v>0</v>
      </c>
      <c r="BP55" s="691">
        <v>0</v>
      </c>
      <c r="BQ55" s="691">
        <v>0</v>
      </c>
      <c r="BR55" s="691">
        <v>0</v>
      </c>
      <c r="BS55" s="691">
        <v>0</v>
      </c>
      <c r="BT55" s="692">
        <v>0</v>
      </c>
    </row>
    <row r="56" spans="2:73" hidden="1" outlineLevel="1">
      <c r="B56" s="752" t="s">
        <v>740</v>
      </c>
      <c r="C56" s="752" t="s">
        <v>731</v>
      </c>
      <c r="D56" s="752" t="s">
        <v>6</v>
      </c>
      <c r="E56" s="752" t="s">
        <v>733</v>
      </c>
      <c r="F56" s="752" t="s">
        <v>29</v>
      </c>
      <c r="G56" s="752" t="s">
        <v>739</v>
      </c>
      <c r="H56" s="752">
        <v>2011</v>
      </c>
      <c r="I56" s="639" t="s">
        <v>567</v>
      </c>
      <c r="J56" s="639" t="s">
        <v>585</v>
      </c>
      <c r="K56" s="628"/>
      <c r="L56" s="690">
        <v>0</v>
      </c>
      <c r="M56" s="691">
        <v>0</v>
      </c>
      <c r="N56" s="691">
        <v>0</v>
      </c>
      <c r="O56" s="691">
        <v>0</v>
      </c>
      <c r="P56" s="691">
        <v>0</v>
      </c>
      <c r="Q56" s="691">
        <v>0</v>
      </c>
      <c r="R56" s="691">
        <v>0</v>
      </c>
      <c r="S56" s="691">
        <v>0</v>
      </c>
      <c r="T56" s="691">
        <v>0</v>
      </c>
      <c r="U56" s="691">
        <v>0</v>
      </c>
      <c r="V56" s="691">
        <v>0</v>
      </c>
      <c r="W56" s="691">
        <v>0</v>
      </c>
      <c r="X56" s="691">
        <v>0</v>
      </c>
      <c r="Y56" s="691">
        <v>0</v>
      </c>
      <c r="Z56" s="691">
        <v>0</v>
      </c>
      <c r="AA56" s="691">
        <v>0</v>
      </c>
      <c r="AB56" s="691">
        <v>0</v>
      </c>
      <c r="AC56" s="691">
        <v>0</v>
      </c>
      <c r="AD56" s="691">
        <v>0</v>
      </c>
      <c r="AE56" s="691">
        <v>0</v>
      </c>
      <c r="AF56" s="691">
        <v>0</v>
      </c>
      <c r="AG56" s="691">
        <v>0</v>
      </c>
      <c r="AH56" s="691">
        <v>0</v>
      </c>
      <c r="AI56" s="691">
        <v>0</v>
      </c>
      <c r="AJ56" s="691">
        <v>0</v>
      </c>
      <c r="AK56" s="691">
        <v>0</v>
      </c>
      <c r="AL56" s="691">
        <v>0</v>
      </c>
      <c r="AM56" s="691">
        <v>0</v>
      </c>
      <c r="AN56" s="691">
        <v>0</v>
      </c>
      <c r="AO56" s="692">
        <v>0</v>
      </c>
      <c r="AP56" s="628"/>
      <c r="AQ56" s="690">
        <v>0</v>
      </c>
      <c r="AR56" s="691">
        <v>0</v>
      </c>
      <c r="AS56" s="691">
        <v>0</v>
      </c>
      <c r="AT56" s="691">
        <v>0</v>
      </c>
      <c r="AU56" s="691">
        <v>0</v>
      </c>
      <c r="AV56" s="691">
        <v>0</v>
      </c>
      <c r="AW56" s="691">
        <v>0</v>
      </c>
      <c r="AX56" s="691">
        <v>0</v>
      </c>
      <c r="AY56" s="691">
        <v>0</v>
      </c>
      <c r="AZ56" s="691">
        <v>0</v>
      </c>
      <c r="BA56" s="691">
        <v>0</v>
      </c>
      <c r="BB56" s="691">
        <v>0</v>
      </c>
      <c r="BC56" s="691">
        <v>0</v>
      </c>
      <c r="BD56" s="691">
        <v>0</v>
      </c>
      <c r="BE56" s="691">
        <v>0</v>
      </c>
      <c r="BF56" s="691">
        <v>0</v>
      </c>
      <c r="BG56" s="691">
        <v>0</v>
      </c>
      <c r="BH56" s="691">
        <v>0</v>
      </c>
      <c r="BI56" s="691">
        <v>0</v>
      </c>
      <c r="BJ56" s="691">
        <v>0</v>
      </c>
      <c r="BK56" s="691">
        <v>0</v>
      </c>
      <c r="BL56" s="691">
        <v>0</v>
      </c>
      <c r="BM56" s="691">
        <v>0</v>
      </c>
      <c r="BN56" s="691">
        <v>0</v>
      </c>
      <c r="BO56" s="691">
        <v>0</v>
      </c>
      <c r="BP56" s="691">
        <v>0</v>
      </c>
      <c r="BQ56" s="691">
        <v>0</v>
      </c>
      <c r="BR56" s="691">
        <v>0</v>
      </c>
      <c r="BS56" s="691">
        <v>0</v>
      </c>
      <c r="BT56" s="692">
        <v>0</v>
      </c>
    </row>
    <row r="57" spans="2:73" hidden="1" outlineLevel="1">
      <c r="B57" s="752" t="s">
        <v>741</v>
      </c>
      <c r="C57" s="752" t="s">
        <v>735</v>
      </c>
      <c r="D57" s="752" t="s">
        <v>742</v>
      </c>
      <c r="E57" s="752" t="s">
        <v>733</v>
      </c>
      <c r="F57" s="752" t="s">
        <v>736</v>
      </c>
      <c r="G57" s="752" t="s">
        <v>734</v>
      </c>
      <c r="H57" s="752">
        <v>2011</v>
      </c>
      <c r="I57" s="639" t="s">
        <v>567</v>
      </c>
      <c r="J57" s="639" t="s">
        <v>585</v>
      </c>
      <c r="K57" s="628"/>
      <c r="L57" s="690">
        <v>5.76</v>
      </c>
      <c r="M57" s="691">
        <v>0</v>
      </c>
      <c r="N57" s="691">
        <v>0</v>
      </c>
      <c r="O57" s="691">
        <v>0</v>
      </c>
      <c r="P57" s="691">
        <v>0</v>
      </c>
      <c r="Q57" s="691">
        <v>0</v>
      </c>
      <c r="R57" s="691">
        <v>0</v>
      </c>
      <c r="S57" s="691">
        <v>0</v>
      </c>
      <c r="T57" s="691">
        <v>0</v>
      </c>
      <c r="U57" s="691">
        <v>0</v>
      </c>
      <c r="V57" s="691">
        <v>0</v>
      </c>
      <c r="W57" s="691">
        <v>0</v>
      </c>
      <c r="X57" s="691">
        <v>0</v>
      </c>
      <c r="Y57" s="691">
        <v>0</v>
      </c>
      <c r="Z57" s="691">
        <v>0</v>
      </c>
      <c r="AA57" s="691">
        <v>0</v>
      </c>
      <c r="AB57" s="691">
        <v>0</v>
      </c>
      <c r="AC57" s="691">
        <v>0</v>
      </c>
      <c r="AD57" s="691">
        <v>0</v>
      </c>
      <c r="AE57" s="691">
        <v>0</v>
      </c>
      <c r="AF57" s="691">
        <v>0</v>
      </c>
      <c r="AG57" s="691">
        <v>0</v>
      </c>
      <c r="AH57" s="691">
        <v>0</v>
      </c>
      <c r="AI57" s="691">
        <v>0</v>
      </c>
      <c r="AJ57" s="691">
        <v>0</v>
      </c>
      <c r="AK57" s="691">
        <v>0</v>
      </c>
      <c r="AL57" s="691">
        <v>0</v>
      </c>
      <c r="AM57" s="691">
        <v>0</v>
      </c>
      <c r="AN57" s="691">
        <v>0</v>
      </c>
      <c r="AO57" s="692">
        <v>0</v>
      </c>
      <c r="AP57" s="628"/>
      <c r="AQ57" s="690">
        <v>0</v>
      </c>
      <c r="AR57" s="691">
        <v>0</v>
      </c>
      <c r="AS57" s="691">
        <v>0</v>
      </c>
      <c r="AT57" s="691">
        <v>0</v>
      </c>
      <c r="AU57" s="691">
        <v>0</v>
      </c>
      <c r="AV57" s="691">
        <v>0</v>
      </c>
      <c r="AW57" s="691">
        <v>0</v>
      </c>
      <c r="AX57" s="691">
        <v>0</v>
      </c>
      <c r="AY57" s="691">
        <v>0</v>
      </c>
      <c r="AZ57" s="691">
        <v>0</v>
      </c>
      <c r="BA57" s="691">
        <v>0</v>
      </c>
      <c r="BB57" s="691">
        <v>0</v>
      </c>
      <c r="BC57" s="691">
        <v>0</v>
      </c>
      <c r="BD57" s="691">
        <v>0</v>
      </c>
      <c r="BE57" s="691">
        <v>0</v>
      </c>
      <c r="BF57" s="691">
        <v>0</v>
      </c>
      <c r="BG57" s="691">
        <v>0</v>
      </c>
      <c r="BH57" s="691">
        <v>0</v>
      </c>
      <c r="BI57" s="691">
        <v>0</v>
      </c>
      <c r="BJ57" s="691">
        <v>0</v>
      </c>
      <c r="BK57" s="691">
        <v>0</v>
      </c>
      <c r="BL57" s="691">
        <v>0</v>
      </c>
      <c r="BM57" s="691">
        <v>0</v>
      </c>
      <c r="BN57" s="691">
        <v>0</v>
      </c>
      <c r="BO57" s="691">
        <v>0</v>
      </c>
      <c r="BP57" s="691">
        <v>0</v>
      </c>
      <c r="BQ57" s="691">
        <v>0</v>
      </c>
      <c r="BR57" s="691">
        <v>0</v>
      </c>
      <c r="BS57" s="691">
        <v>0</v>
      </c>
      <c r="BT57" s="692">
        <v>0</v>
      </c>
    </row>
    <row r="58" spans="2:73" hidden="1" outlineLevel="1">
      <c r="B58" s="752" t="s">
        <v>741</v>
      </c>
      <c r="C58" s="752" t="s">
        <v>735</v>
      </c>
      <c r="D58" s="752" t="s">
        <v>743</v>
      </c>
      <c r="E58" s="752" t="s">
        <v>733</v>
      </c>
      <c r="F58" s="752" t="s">
        <v>736</v>
      </c>
      <c r="G58" s="752" t="s">
        <v>734</v>
      </c>
      <c r="H58" s="752">
        <v>2011</v>
      </c>
      <c r="I58" s="639" t="s">
        <v>567</v>
      </c>
      <c r="J58" s="639" t="s">
        <v>585</v>
      </c>
      <c r="K58" s="628"/>
      <c r="L58" s="690">
        <v>455.08199999999999</v>
      </c>
      <c r="M58" s="691">
        <v>0</v>
      </c>
      <c r="N58" s="691">
        <v>0</v>
      </c>
      <c r="O58" s="691">
        <v>0</v>
      </c>
      <c r="P58" s="691">
        <v>0</v>
      </c>
      <c r="Q58" s="691">
        <v>0</v>
      </c>
      <c r="R58" s="691">
        <v>0</v>
      </c>
      <c r="S58" s="691">
        <v>0</v>
      </c>
      <c r="T58" s="691">
        <v>0</v>
      </c>
      <c r="U58" s="691">
        <v>0</v>
      </c>
      <c r="V58" s="691">
        <v>0</v>
      </c>
      <c r="W58" s="691">
        <v>0</v>
      </c>
      <c r="X58" s="691">
        <v>0</v>
      </c>
      <c r="Y58" s="691">
        <v>0</v>
      </c>
      <c r="Z58" s="691">
        <v>0</v>
      </c>
      <c r="AA58" s="691">
        <v>0</v>
      </c>
      <c r="AB58" s="691">
        <v>0</v>
      </c>
      <c r="AC58" s="691">
        <v>0</v>
      </c>
      <c r="AD58" s="691">
        <v>0</v>
      </c>
      <c r="AE58" s="691">
        <v>0</v>
      </c>
      <c r="AF58" s="691">
        <v>0</v>
      </c>
      <c r="AG58" s="691">
        <v>0</v>
      </c>
      <c r="AH58" s="691">
        <v>0</v>
      </c>
      <c r="AI58" s="691">
        <v>0</v>
      </c>
      <c r="AJ58" s="691">
        <v>0</v>
      </c>
      <c r="AK58" s="691">
        <v>0</v>
      </c>
      <c r="AL58" s="691">
        <v>0</v>
      </c>
      <c r="AM58" s="691">
        <v>0</v>
      </c>
      <c r="AN58" s="691">
        <v>0</v>
      </c>
      <c r="AO58" s="692">
        <v>0</v>
      </c>
      <c r="AP58" s="628"/>
      <c r="AQ58" s="690">
        <v>17767.759999999998</v>
      </c>
      <c r="AR58" s="691">
        <v>0</v>
      </c>
      <c r="AS58" s="691">
        <v>0</v>
      </c>
      <c r="AT58" s="691">
        <v>0</v>
      </c>
      <c r="AU58" s="691">
        <v>0</v>
      </c>
      <c r="AV58" s="691">
        <v>0</v>
      </c>
      <c r="AW58" s="691">
        <v>0</v>
      </c>
      <c r="AX58" s="691">
        <v>0</v>
      </c>
      <c r="AY58" s="691">
        <v>0</v>
      </c>
      <c r="AZ58" s="691">
        <v>0</v>
      </c>
      <c r="BA58" s="691">
        <v>0</v>
      </c>
      <c r="BB58" s="691">
        <v>0</v>
      </c>
      <c r="BC58" s="691">
        <v>0</v>
      </c>
      <c r="BD58" s="691">
        <v>0</v>
      </c>
      <c r="BE58" s="691">
        <v>0</v>
      </c>
      <c r="BF58" s="691">
        <v>0</v>
      </c>
      <c r="BG58" s="691">
        <v>0</v>
      </c>
      <c r="BH58" s="691">
        <v>0</v>
      </c>
      <c r="BI58" s="691">
        <v>0</v>
      </c>
      <c r="BJ58" s="691">
        <v>0</v>
      </c>
      <c r="BK58" s="691">
        <v>0</v>
      </c>
      <c r="BL58" s="691">
        <v>0</v>
      </c>
      <c r="BM58" s="691">
        <v>0</v>
      </c>
      <c r="BN58" s="691">
        <v>0</v>
      </c>
      <c r="BO58" s="691">
        <v>0</v>
      </c>
      <c r="BP58" s="691">
        <v>0</v>
      </c>
      <c r="BQ58" s="691">
        <v>0</v>
      </c>
      <c r="BR58" s="691">
        <v>0</v>
      </c>
      <c r="BS58" s="691">
        <v>0</v>
      </c>
      <c r="BT58" s="692">
        <v>0</v>
      </c>
    </row>
    <row r="59" spans="2:73" hidden="1" outlineLevel="1">
      <c r="B59" s="752" t="s">
        <v>741</v>
      </c>
      <c r="C59" s="752" t="s">
        <v>735</v>
      </c>
      <c r="D59" s="752" t="s">
        <v>21</v>
      </c>
      <c r="E59" s="752" t="s">
        <v>733</v>
      </c>
      <c r="F59" s="752" t="s">
        <v>736</v>
      </c>
      <c r="G59" s="752" t="s">
        <v>739</v>
      </c>
      <c r="H59" s="752">
        <v>2011</v>
      </c>
      <c r="I59" s="639" t="s">
        <v>567</v>
      </c>
      <c r="J59" s="639" t="s">
        <v>585</v>
      </c>
      <c r="K59" s="628"/>
      <c r="L59" s="690">
        <v>260.90803991794672</v>
      </c>
      <c r="M59" s="691">
        <v>260.08712873835219</v>
      </c>
      <c r="N59" s="691">
        <v>255.97450774808883</v>
      </c>
      <c r="O59" s="691">
        <v>211.44022027459175</v>
      </c>
      <c r="P59" s="691">
        <v>211.44022027459175</v>
      </c>
      <c r="Q59" s="691">
        <v>211.44022027459175</v>
      </c>
      <c r="R59" s="691">
        <v>78.800560304824188</v>
      </c>
      <c r="S59" s="691">
        <v>72.628460390314999</v>
      </c>
      <c r="T59" s="691">
        <v>72.628460390314999</v>
      </c>
      <c r="U59" s="691">
        <v>72.628460390314999</v>
      </c>
      <c r="V59" s="691">
        <v>68.52217625828014</v>
      </c>
      <c r="W59" s="691">
        <v>68.52217625828014</v>
      </c>
      <c r="X59" s="691">
        <v>11.751991623668847</v>
      </c>
      <c r="Y59" s="691">
        <v>11.751991623668847</v>
      </c>
      <c r="Z59" s="691">
        <v>11.751991623668847</v>
      </c>
      <c r="AA59" s="691">
        <v>0</v>
      </c>
      <c r="AB59" s="691">
        <v>0</v>
      </c>
      <c r="AC59" s="691">
        <v>0</v>
      </c>
      <c r="AD59" s="691">
        <v>0</v>
      </c>
      <c r="AE59" s="691">
        <v>0</v>
      </c>
      <c r="AF59" s="691">
        <v>0</v>
      </c>
      <c r="AG59" s="691">
        <v>0</v>
      </c>
      <c r="AH59" s="691">
        <v>0</v>
      </c>
      <c r="AI59" s="691">
        <v>0</v>
      </c>
      <c r="AJ59" s="691">
        <v>0</v>
      </c>
      <c r="AK59" s="691">
        <v>0</v>
      </c>
      <c r="AL59" s="691">
        <v>0</v>
      </c>
      <c r="AM59" s="691">
        <v>0</v>
      </c>
      <c r="AN59" s="691">
        <v>0</v>
      </c>
      <c r="AO59" s="692">
        <v>0</v>
      </c>
      <c r="AP59" s="628"/>
      <c r="AQ59" s="690">
        <v>631336.09519030957</v>
      </c>
      <c r="AR59" s="691">
        <v>629043.19413396483</v>
      </c>
      <c r="AS59" s="691">
        <v>618492.77257100388</v>
      </c>
      <c r="AT59" s="691">
        <v>494725.18538609933</v>
      </c>
      <c r="AU59" s="691">
        <v>494725.18538609933</v>
      </c>
      <c r="AV59" s="691">
        <v>494725.18538609933</v>
      </c>
      <c r="AW59" s="691">
        <v>176545.49174467372</v>
      </c>
      <c r="AX59" s="691">
        <v>171912.49044476336</v>
      </c>
      <c r="AY59" s="691">
        <v>171912.49044476336</v>
      </c>
      <c r="AZ59" s="691">
        <v>171912.49044476336</v>
      </c>
      <c r="BA59" s="691">
        <v>144911.32081548698</v>
      </c>
      <c r="BB59" s="691">
        <v>144911.32081548698</v>
      </c>
      <c r="BC59" s="691">
        <v>8821.469714221741</v>
      </c>
      <c r="BD59" s="691">
        <v>8821.469714221741</v>
      </c>
      <c r="BE59" s="691">
        <v>8821.469714221741</v>
      </c>
      <c r="BF59" s="691">
        <v>0</v>
      </c>
      <c r="BG59" s="691">
        <v>0</v>
      </c>
      <c r="BH59" s="691">
        <v>0</v>
      </c>
      <c r="BI59" s="691">
        <v>0</v>
      </c>
      <c r="BJ59" s="691">
        <v>0</v>
      </c>
      <c r="BK59" s="691">
        <v>0</v>
      </c>
      <c r="BL59" s="691">
        <v>0</v>
      </c>
      <c r="BM59" s="691">
        <v>0</v>
      </c>
      <c r="BN59" s="691">
        <v>0</v>
      </c>
      <c r="BO59" s="691">
        <v>0</v>
      </c>
      <c r="BP59" s="691">
        <v>0</v>
      </c>
      <c r="BQ59" s="691">
        <v>0</v>
      </c>
      <c r="BR59" s="691">
        <v>0</v>
      </c>
      <c r="BS59" s="691">
        <v>0</v>
      </c>
      <c r="BT59" s="692">
        <v>0</v>
      </c>
    </row>
    <row r="60" spans="2:73" ht="15.75" hidden="1" outlineLevel="1">
      <c r="B60" s="752" t="s">
        <v>741</v>
      </c>
      <c r="C60" s="752" t="s">
        <v>735</v>
      </c>
      <c r="D60" s="752" t="s">
        <v>22</v>
      </c>
      <c r="E60" s="752" t="s">
        <v>733</v>
      </c>
      <c r="F60" s="752" t="s">
        <v>736</v>
      </c>
      <c r="G60" s="752" t="s">
        <v>739</v>
      </c>
      <c r="H60" s="752">
        <v>2011</v>
      </c>
      <c r="I60" s="639" t="s">
        <v>567</v>
      </c>
      <c r="J60" s="639" t="s">
        <v>585</v>
      </c>
      <c r="K60" s="628"/>
      <c r="L60" s="690">
        <v>563.68446764139082</v>
      </c>
      <c r="M60" s="691">
        <v>563.68446764139082</v>
      </c>
      <c r="N60" s="691">
        <v>563.68446764139082</v>
      </c>
      <c r="O60" s="691">
        <v>550.66485693248649</v>
      </c>
      <c r="P60" s="691">
        <v>458.34768725125775</v>
      </c>
      <c r="Q60" s="691">
        <v>423.59563332671848</v>
      </c>
      <c r="R60" s="691">
        <v>387.80533734349859</v>
      </c>
      <c r="S60" s="691">
        <v>387.80533734349859</v>
      </c>
      <c r="T60" s="691">
        <v>330.58476652545392</v>
      </c>
      <c r="U60" s="691">
        <v>330.58476652545392</v>
      </c>
      <c r="V60" s="691">
        <v>328.2943441926019</v>
      </c>
      <c r="W60" s="691">
        <v>328.2943441926019</v>
      </c>
      <c r="X60" s="691">
        <v>82.581877423467773</v>
      </c>
      <c r="Y60" s="691">
        <v>23.952104039157337</v>
      </c>
      <c r="Z60" s="691">
        <v>16.826920066441492</v>
      </c>
      <c r="AA60" s="691">
        <v>13.144059785597749</v>
      </c>
      <c r="AB60" s="691">
        <v>13.144059785597749</v>
      </c>
      <c r="AC60" s="691">
        <v>13.144059785597749</v>
      </c>
      <c r="AD60" s="691">
        <v>13.144059785597749</v>
      </c>
      <c r="AE60" s="691">
        <v>13.144059785597749</v>
      </c>
      <c r="AF60" s="691">
        <v>0</v>
      </c>
      <c r="AG60" s="691">
        <v>0</v>
      </c>
      <c r="AH60" s="691">
        <v>0</v>
      </c>
      <c r="AI60" s="691">
        <v>0</v>
      </c>
      <c r="AJ60" s="691">
        <v>0</v>
      </c>
      <c r="AK60" s="691">
        <v>0</v>
      </c>
      <c r="AL60" s="691">
        <v>0</v>
      </c>
      <c r="AM60" s="691">
        <v>0</v>
      </c>
      <c r="AN60" s="691">
        <v>0</v>
      </c>
      <c r="AO60" s="692">
        <v>0</v>
      </c>
      <c r="AP60" s="628"/>
      <c r="AQ60" s="690">
        <v>3057370.0272504357</v>
      </c>
      <c r="AR60" s="691">
        <v>3057370.0272504357</v>
      </c>
      <c r="AS60" s="691">
        <v>3057370.0272504357</v>
      </c>
      <c r="AT60" s="691">
        <v>3007414.2943077022</v>
      </c>
      <c r="AU60" s="691">
        <v>2537280.8048618073</v>
      </c>
      <c r="AV60" s="691">
        <v>2403938.544184349</v>
      </c>
      <c r="AW60" s="691">
        <v>2266612.5896643479</v>
      </c>
      <c r="AX60" s="691">
        <v>2266612.5896643479</v>
      </c>
      <c r="AY60" s="691">
        <v>2049286.0523988444</v>
      </c>
      <c r="AZ60" s="691">
        <v>2049286.0523988444</v>
      </c>
      <c r="BA60" s="691">
        <v>2019607.8877112637</v>
      </c>
      <c r="BB60" s="691">
        <v>2019607.8877112637</v>
      </c>
      <c r="BC60" s="691">
        <v>309383.70478805096</v>
      </c>
      <c r="BD60" s="691">
        <v>84423.576012736303</v>
      </c>
      <c r="BE60" s="691">
        <v>64996.513462526236</v>
      </c>
      <c r="BF60" s="691">
        <v>50433.239143130959</v>
      </c>
      <c r="BG60" s="691">
        <v>50433.239143130959</v>
      </c>
      <c r="BH60" s="691">
        <v>50433.239143130959</v>
      </c>
      <c r="BI60" s="691">
        <v>50433.239143130959</v>
      </c>
      <c r="BJ60" s="691">
        <v>50433.239143130959</v>
      </c>
      <c r="BK60" s="691">
        <v>0</v>
      </c>
      <c r="BL60" s="691">
        <v>0</v>
      </c>
      <c r="BM60" s="691">
        <v>0</v>
      </c>
      <c r="BN60" s="691">
        <v>0</v>
      </c>
      <c r="BO60" s="691">
        <v>0</v>
      </c>
      <c r="BP60" s="691">
        <v>0</v>
      </c>
      <c r="BQ60" s="691">
        <v>0</v>
      </c>
      <c r="BR60" s="691">
        <v>0</v>
      </c>
      <c r="BS60" s="691">
        <v>0</v>
      </c>
      <c r="BT60" s="692">
        <v>0</v>
      </c>
      <c r="BU60" s="163"/>
    </row>
    <row r="61" spans="2:73" hidden="1" outlineLevel="1">
      <c r="B61" s="752" t="s">
        <v>741</v>
      </c>
      <c r="C61" s="752" t="s">
        <v>744</v>
      </c>
      <c r="D61" s="752" t="s">
        <v>9</v>
      </c>
      <c r="E61" s="752" t="s">
        <v>733</v>
      </c>
      <c r="F61" s="752" t="s">
        <v>744</v>
      </c>
      <c r="G61" s="752" t="s">
        <v>734</v>
      </c>
      <c r="H61" s="752">
        <v>2011</v>
      </c>
      <c r="I61" s="639" t="s">
        <v>567</v>
      </c>
      <c r="J61" s="639" t="s">
        <v>585</v>
      </c>
      <c r="K61" s="628"/>
      <c r="L61" s="690">
        <v>1452.9179999999999</v>
      </c>
      <c r="M61" s="691">
        <v>0</v>
      </c>
      <c r="N61" s="691">
        <v>0</v>
      </c>
      <c r="O61" s="691">
        <v>0</v>
      </c>
      <c r="P61" s="691">
        <v>0</v>
      </c>
      <c r="Q61" s="691">
        <v>0</v>
      </c>
      <c r="R61" s="691">
        <v>0</v>
      </c>
      <c r="S61" s="691">
        <v>0</v>
      </c>
      <c r="T61" s="691">
        <v>0</v>
      </c>
      <c r="U61" s="691">
        <v>0</v>
      </c>
      <c r="V61" s="691">
        <v>0</v>
      </c>
      <c r="W61" s="691">
        <v>0</v>
      </c>
      <c r="X61" s="691">
        <v>0</v>
      </c>
      <c r="Y61" s="691">
        <v>0</v>
      </c>
      <c r="Z61" s="691">
        <v>0</v>
      </c>
      <c r="AA61" s="691">
        <v>0</v>
      </c>
      <c r="AB61" s="691">
        <v>0</v>
      </c>
      <c r="AC61" s="691">
        <v>0</v>
      </c>
      <c r="AD61" s="691">
        <v>0</v>
      </c>
      <c r="AE61" s="691">
        <v>0</v>
      </c>
      <c r="AF61" s="691">
        <v>0</v>
      </c>
      <c r="AG61" s="691">
        <v>0</v>
      </c>
      <c r="AH61" s="691">
        <v>0</v>
      </c>
      <c r="AI61" s="691">
        <v>0</v>
      </c>
      <c r="AJ61" s="691">
        <v>0</v>
      </c>
      <c r="AK61" s="691">
        <v>0</v>
      </c>
      <c r="AL61" s="691">
        <v>0</v>
      </c>
      <c r="AM61" s="691">
        <v>0</v>
      </c>
      <c r="AN61" s="691">
        <v>0</v>
      </c>
      <c r="AO61" s="692">
        <v>0</v>
      </c>
      <c r="AP61" s="628"/>
      <c r="AQ61" s="690">
        <v>85284.719999999987</v>
      </c>
      <c r="AR61" s="691">
        <v>0</v>
      </c>
      <c r="AS61" s="691">
        <v>0</v>
      </c>
      <c r="AT61" s="691">
        <v>0</v>
      </c>
      <c r="AU61" s="691">
        <v>0</v>
      </c>
      <c r="AV61" s="691">
        <v>0</v>
      </c>
      <c r="AW61" s="691">
        <v>0</v>
      </c>
      <c r="AX61" s="691">
        <v>0</v>
      </c>
      <c r="AY61" s="691">
        <v>0</v>
      </c>
      <c r="AZ61" s="691">
        <v>0</v>
      </c>
      <c r="BA61" s="691">
        <v>0</v>
      </c>
      <c r="BB61" s="691">
        <v>0</v>
      </c>
      <c r="BC61" s="691">
        <v>0</v>
      </c>
      <c r="BD61" s="691">
        <v>0</v>
      </c>
      <c r="BE61" s="691">
        <v>0</v>
      </c>
      <c r="BF61" s="691">
        <v>0</v>
      </c>
      <c r="BG61" s="691">
        <v>0</v>
      </c>
      <c r="BH61" s="691">
        <v>0</v>
      </c>
      <c r="BI61" s="691">
        <v>0</v>
      </c>
      <c r="BJ61" s="691">
        <v>0</v>
      </c>
      <c r="BK61" s="691">
        <v>0</v>
      </c>
      <c r="BL61" s="691">
        <v>0</v>
      </c>
      <c r="BM61" s="691">
        <v>0</v>
      </c>
      <c r="BN61" s="691">
        <v>0</v>
      </c>
      <c r="BO61" s="691">
        <v>0</v>
      </c>
      <c r="BP61" s="691">
        <v>0</v>
      </c>
      <c r="BQ61" s="691">
        <v>0</v>
      </c>
      <c r="BR61" s="691">
        <v>0</v>
      </c>
      <c r="BS61" s="691">
        <v>0</v>
      </c>
      <c r="BT61" s="692">
        <v>0</v>
      </c>
    </row>
    <row r="62" spans="2:73" hidden="1" outlineLevel="1">
      <c r="B62" s="752" t="s">
        <v>741</v>
      </c>
      <c r="C62" s="752" t="s">
        <v>744</v>
      </c>
      <c r="D62" s="752" t="s">
        <v>22</v>
      </c>
      <c r="E62" s="752" t="s">
        <v>733</v>
      </c>
      <c r="F62" s="752" t="s">
        <v>744</v>
      </c>
      <c r="G62" s="752" t="s">
        <v>739</v>
      </c>
      <c r="H62" s="752">
        <v>2011</v>
      </c>
      <c r="I62" s="639" t="s">
        <v>567</v>
      </c>
      <c r="J62" s="639" t="s">
        <v>585</v>
      </c>
      <c r="K62" s="628"/>
      <c r="L62" s="690">
        <v>39.952116108783223</v>
      </c>
      <c r="M62" s="691">
        <v>39.952116108783223</v>
      </c>
      <c r="N62" s="691">
        <v>39.952116108783223</v>
      </c>
      <c r="O62" s="691">
        <v>39.952116108783223</v>
      </c>
      <c r="P62" s="691">
        <v>39.952116108783223</v>
      </c>
      <c r="Q62" s="691">
        <v>39.952116108783223</v>
      </c>
      <c r="R62" s="691">
        <v>37.123346646414682</v>
      </c>
      <c r="S62" s="691">
        <v>37.123346646414682</v>
      </c>
      <c r="T62" s="691">
        <v>33.53669629002551</v>
      </c>
      <c r="U62" s="691">
        <v>33.53669629002551</v>
      </c>
      <c r="V62" s="691">
        <v>33.53669629002551</v>
      </c>
      <c r="W62" s="691">
        <v>33.53669629002551</v>
      </c>
      <c r="X62" s="691">
        <v>0.87161026646635253</v>
      </c>
      <c r="Y62" s="691">
        <v>0.87161026646635253</v>
      </c>
      <c r="Z62" s="691">
        <v>0.87161026646635253</v>
      </c>
      <c r="AA62" s="691">
        <v>0</v>
      </c>
      <c r="AB62" s="691">
        <v>0</v>
      </c>
      <c r="AC62" s="691">
        <v>0</v>
      </c>
      <c r="AD62" s="691">
        <v>0</v>
      </c>
      <c r="AE62" s="691">
        <v>0</v>
      </c>
      <c r="AF62" s="691">
        <v>0</v>
      </c>
      <c r="AG62" s="691">
        <v>0</v>
      </c>
      <c r="AH62" s="691">
        <v>0</v>
      </c>
      <c r="AI62" s="691">
        <v>0</v>
      </c>
      <c r="AJ62" s="691">
        <v>0</v>
      </c>
      <c r="AK62" s="691">
        <v>0</v>
      </c>
      <c r="AL62" s="691">
        <v>0</v>
      </c>
      <c r="AM62" s="691">
        <v>0</v>
      </c>
      <c r="AN62" s="691">
        <v>0</v>
      </c>
      <c r="AO62" s="692">
        <v>0</v>
      </c>
      <c r="AP62" s="628"/>
      <c r="AQ62" s="690">
        <v>271185.08689651696</v>
      </c>
      <c r="AR62" s="691">
        <v>271185.08689651696</v>
      </c>
      <c r="AS62" s="691">
        <v>271185.08689651696</v>
      </c>
      <c r="AT62" s="691">
        <v>271185.08689651696</v>
      </c>
      <c r="AU62" s="691">
        <v>271185.08689651696</v>
      </c>
      <c r="AV62" s="691">
        <v>271185.08689651696</v>
      </c>
      <c r="AW62" s="691">
        <v>260331.21000433038</v>
      </c>
      <c r="AX62" s="691">
        <v>260331.21000433038</v>
      </c>
      <c r="AY62" s="691">
        <v>246569.37400410365</v>
      </c>
      <c r="AZ62" s="691">
        <v>246569.37400410365</v>
      </c>
      <c r="BA62" s="691">
        <v>246569.37400410365</v>
      </c>
      <c r="BB62" s="691">
        <v>246569.37400410365</v>
      </c>
      <c r="BC62" s="691">
        <v>17497.695161444259</v>
      </c>
      <c r="BD62" s="691">
        <v>17497.695161444259</v>
      </c>
      <c r="BE62" s="691">
        <v>3371.8513448763724</v>
      </c>
      <c r="BF62" s="691">
        <v>0</v>
      </c>
      <c r="BG62" s="691">
        <v>0</v>
      </c>
      <c r="BH62" s="691">
        <v>0</v>
      </c>
      <c r="BI62" s="691">
        <v>0</v>
      </c>
      <c r="BJ62" s="691">
        <v>0</v>
      </c>
      <c r="BK62" s="691">
        <v>0</v>
      </c>
      <c r="BL62" s="691">
        <v>0</v>
      </c>
      <c r="BM62" s="691">
        <v>0</v>
      </c>
      <c r="BN62" s="691">
        <v>0</v>
      </c>
      <c r="BO62" s="691">
        <v>0</v>
      </c>
      <c r="BP62" s="691">
        <v>0</v>
      </c>
      <c r="BQ62" s="691">
        <v>0</v>
      </c>
      <c r="BR62" s="691">
        <v>0</v>
      </c>
      <c r="BS62" s="691">
        <v>0</v>
      </c>
      <c r="BT62" s="692">
        <v>0</v>
      </c>
    </row>
    <row r="63" spans="2:73" hidden="1" outlineLevel="1">
      <c r="B63" s="752" t="s">
        <v>741</v>
      </c>
      <c r="C63" s="752" t="s">
        <v>745</v>
      </c>
      <c r="D63" s="752" t="s">
        <v>16</v>
      </c>
      <c r="E63" s="752" t="s">
        <v>733</v>
      </c>
      <c r="F63" s="752" t="s">
        <v>736</v>
      </c>
      <c r="G63" s="752" t="s">
        <v>739</v>
      </c>
      <c r="H63" s="752">
        <v>2011</v>
      </c>
      <c r="I63" s="639" t="s">
        <v>567</v>
      </c>
      <c r="J63" s="639" t="s">
        <v>585</v>
      </c>
      <c r="K63" s="628"/>
      <c r="L63" s="690">
        <v>964.17525581299992</v>
      </c>
      <c r="M63" s="691">
        <v>964.17525581299992</v>
      </c>
      <c r="N63" s="691">
        <v>964.17525581299992</v>
      </c>
      <c r="O63" s="691">
        <v>964.17525581299992</v>
      </c>
      <c r="P63" s="691">
        <v>964.17525581299992</v>
      </c>
      <c r="Q63" s="691">
        <v>964.17525581299992</v>
      </c>
      <c r="R63" s="691">
        <v>964.17525581299992</v>
      </c>
      <c r="S63" s="691">
        <v>964.17525581299992</v>
      </c>
      <c r="T63" s="691">
        <v>964.17525581299992</v>
      </c>
      <c r="U63" s="691">
        <v>964.17525581299992</v>
      </c>
      <c r="V63" s="691">
        <v>964.17525581299992</v>
      </c>
      <c r="W63" s="691">
        <v>964.17525581299992</v>
      </c>
      <c r="X63" s="691">
        <v>964.17525581299992</v>
      </c>
      <c r="Y63" s="691">
        <v>0</v>
      </c>
      <c r="Z63" s="691">
        <v>0</v>
      </c>
      <c r="AA63" s="691">
        <v>0</v>
      </c>
      <c r="AB63" s="691">
        <v>0</v>
      </c>
      <c r="AC63" s="691">
        <v>0</v>
      </c>
      <c r="AD63" s="691">
        <v>0</v>
      </c>
      <c r="AE63" s="691">
        <v>0</v>
      </c>
      <c r="AF63" s="691">
        <v>0</v>
      </c>
      <c r="AG63" s="691">
        <v>0</v>
      </c>
      <c r="AH63" s="691">
        <v>0</v>
      </c>
      <c r="AI63" s="691">
        <v>0</v>
      </c>
      <c r="AJ63" s="691">
        <v>0</v>
      </c>
      <c r="AK63" s="691">
        <v>0</v>
      </c>
      <c r="AL63" s="691">
        <v>0</v>
      </c>
      <c r="AM63" s="691">
        <v>0</v>
      </c>
      <c r="AN63" s="691">
        <v>0</v>
      </c>
      <c r="AO63" s="692">
        <v>0</v>
      </c>
      <c r="AP63" s="628"/>
      <c r="AQ63" s="690">
        <v>6580023.0343503272</v>
      </c>
      <c r="AR63" s="691">
        <v>6580023.0343503272</v>
      </c>
      <c r="AS63" s="691">
        <v>6580023.0343503272</v>
      </c>
      <c r="AT63" s="691">
        <v>6580023.0343503272</v>
      </c>
      <c r="AU63" s="691">
        <v>6580023.0343503272</v>
      </c>
      <c r="AV63" s="691">
        <v>6580023.0343503272</v>
      </c>
      <c r="AW63" s="691">
        <v>6580023.0343503272</v>
      </c>
      <c r="AX63" s="691">
        <v>6580023.0343503272</v>
      </c>
      <c r="AY63" s="691">
        <v>6580023.0343503272</v>
      </c>
      <c r="AZ63" s="691">
        <v>6580023.0343503272</v>
      </c>
      <c r="BA63" s="691">
        <v>6580023.0343503272</v>
      </c>
      <c r="BB63" s="691">
        <v>6580023.0343503272</v>
      </c>
      <c r="BC63" s="691">
        <v>6580023.0343503272</v>
      </c>
      <c r="BD63" s="691">
        <v>0</v>
      </c>
      <c r="BE63" s="691">
        <v>0</v>
      </c>
      <c r="BF63" s="691">
        <v>0</v>
      </c>
      <c r="BG63" s="691">
        <v>0</v>
      </c>
      <c r="BH63" s="691">
        <v>0</v>
      </c>
      <c r="BI63" s="691">
        <v>0</v>
      </c>
      <c r="BJ63" s="691">
        <v>0</v>
      </c>
      <c r="BK63" s="691">
        <v>0</v>
      </c>
      <c r="BL63" s="691">
        <v>0</v>
      </c>
      <c r="BM63" s="691">
        <v>0</v>
      </c>
      <c r="BN63" s="691">
        <v>0</v>
      </c>
      <c r="BO63" s="691">
        <v>0</v>
      </c>
      <c r="BP63" s="691">
        <v>0</v>
      </c>
      <c r="BQ63" s="691">
        <v>0</v>
      </c>
      <c r="BR63" s="691">
        <v>0</v>
      </c>
      <c r="BS63" s="691">
        <v>0</v>
      </c>
      <c r="BT63" s="692">
        <v>0</v>
      </c>
    </row>
    <row r="64" spans="2:73" hidden="1" outlineLevel="1">
      <c r="B64" s="752" t="s">
        <v>741</v>
      </c>
      <c r="C64" s="752" t="s">
        <v>745</v>
      </c>
      <c r="D64" s="752" t="s">
        <v>17</v>
      </c>
      <c r="E64" s="752" t="s">
        <v>733</v>
      </c>
      <c r="F64" s="752" t="s">
        <v>736</v>
      </c>
      <c r="G64" s="752" t="s">
        <v>739</v>
      </c>
      <c r="H64" s="752">
        <v>2011</v>
      </c>
      <c r="I64" s="639" t="s">
        <v>567</v>
      </c>
      <c r="J64" s="639" t="s">
        <v>585</v>
      </c>
      <c r="K64" s="628"/>
      <c r="L64" s="690">
        <v>1.0183766523853501</v>
      </c>
      <c r="M64" s="691">
        <v>1.0183766523853501</v>
      </c>
      <c r="N64" s="691">
        <v>1.0183766523853501</v>
      </c>
      <c r="O64" s="691">
        <v>1.0183766523853501</v>
      </c>
      <c r="P64" s="691">
        <v>1.0183766523853501</v>
      </c>
      <c r="Q64" s="691">
        <v>1.0183766523853501</v>
      </c>
      <c r="R64" s="691">
        <v>1.0183766523853501</v>
      </c>
      <c r="S64" s="691">
        <v>1.0183766523853501</v>
      </c>
      <c r="T64" s="691">
        <v>1.0183766523853501</v>
      </c>
      <c r="U64" s="691">
        <v>1.0183766523853501</v>
      </c>
      <c r="V64" s="691">
        <v>1.0183766523853501</v>
      </c>
      <c r="W64" s="691">
        <v>1.0183766523853501</v>
      </c>
      <c r="X64" s="691">
        <v>1.0183766523853501</v>
      </c>
      <c r="Y64" s="691">
        <v>1.0183766523853501</v>
      </c>
      <c r="Z64" s="691">
        <v>1.0183766523853501</v>
      </c>
      <c r="AA64" s="691">
        <v>1.0183766523853501</v>
      </c>
      <c r="AB64" s="691">
        <v>1.0183766523853501</v>
      </c>
      <c r="AC64" s="691">
        <v>1.0183766523853501</v>
      </c>
      <c r="AD64" s="691">
        <v>1.0183766523853501</v>
      </c>
      <c r="AE64" s="691">
        <v>1.0183766523853501</v>
      </c>
      <c r="AF64" s="691">
        <v>1.0183766523853501</v>
      </c>
      <c r="AG64" s="691">
        <v>1.0183766523853501</v>
      </c>
      <c r="AH64" s="691">
        <v>1.0183766523853501</v>
      </c>
      <c r="AI64" s="691">
        <v>1.0183766523853501</v>
      </c>
      <c r="AJ64" s="691">
        <v>1.0183766523853501</v>
      </c>
      <c r="AK64" s="691">
        <v>1.0183766523853501</v>
      </c>
      <c r="AL64" s="691">
        <v>0</v>
      </c>
      <c r="AM64" s="691">
        <v>0</v>
      </c>
      <c r="AN64" s="691">
        <v>0</v>
      </c>
      <c r="AO64" s="692">
        <v>0</v>
      </c>
      <c r="AP64" s="628"/>
      <c r="AQ64" s="690">
        <v>5230.3824866511577</v>
      </c>
      <c r="AR64" s="691">
        <v>5230.3824866511577</v>
      </c>
      <c r="AS64" s="691">
        <v>5230.3824866511577</v>
      </c>
      <c r="AT64" s="691">
        <v>5230.3824866511577</v>
      </c>
      <c r="AU64" s="691">
        <v>5230.3824866511577</v>
      </c>
      <c r="AV64" s="691">
        <v>5230.3824866511577</v>
      </c>
      <c r="AW64" s="691">
        <v>5230.3824866511577</v>
      </c>
      <c r="AX64" s="691">
        <v>5230.3824866511577</v>
      </c>
      <c r="AY64" s="691">
        <v>5230.3824866511577</v>
      </c>
      <c r="AZ64" s="691">
        <v>5230.3824866511577</v>
      </c>
      <c r="BA64" s="691">
        <v>5230.3824866511577</v>
      </c>
      <c r="BB64" s="691">
        <v>5230.3824866511577</v>
      </c>
      <c r="BC64" s="691">
        <v>5230.3824866511577</v>
      </c>
      <c r="BD64" s="691">
        <v>5230.3824866511577</v>
      </c>
      <c r="BE64" s="691">
        <v>5230.3824866511577</v>
      </c>
      <c r="BF64" s="691">
        <v>5230.3824866511577</v>
      </c>
      <c r="BG64" s="691">
        <v>5230.3824866511577</v>
      </c>
      <c r="BH64" s="691">
        <v>5230.3824866511577</v>
      </c>
      <c r="BI64" s="691">
        <v>5230.3824866511577</v>
      </c>
      <c r="BJ64" s="691">
        <v>5230.3824866511577</v>
      </c>
      <c r="BK64" s="691">
        <v>5230.3824866511577</v>
      </c>
      <c r="BL64" s="691">
        <v>5230.3824866511577</v>
      </c>
      <c r="BM64" s="691">
        <v>5230.3824866511577</v>
      </c>
      <c r="BN64" s="691">
        <v>5230.3824866511577</v>
      </c>
      <c r="BO64" s="691">
        <v>5230.3824866511577</v>
      </c>
      <c r="BP64" s="691">
        <v>5230.3824866511577</v>
      </c>
      <c r="BQ64" s="691">
        <v>0</v>
      </c>
      <c r="BR64" s="691">
        <v>0</v>
      </c>
      <c r="BS64" s="691">
        <v>0</v>
      </c>
      <c r="BT64" s="692">
        <v>0</v>
      </c>
    </row>
    <row r="65" spans="2:73" hidden="1" outlineLevel="1">
      <c r="B65" s="752" t="s">
        <v>208</v>
      </c>
      <c r="C65" s="752" t="s">
        <v>735</v>
      </c>
      <c r="D65" s="752" t="s">
        <v>22</v>
      </c>
      <c r="E65" s="752" t="s">
        <v>733</v>
      </c>
      <c r="F65" s="752" t="s">
        <v>746</v>
      </c>
      <c r="G65" s="752" t="s">
        <v>739</v>
      </c>
      <c r="H65" s="752">
        <v>2011</v>
      </c>
      <c r="I65" s="639" t="s">
        <v>568</v>
      </c>
      <c r="J65" s="639" t="s">
        <v>578</v>
      </c>
      <c r="K65" s="628"/>
      <c r="L65" s="690">
        <v>43.586972220751875</v>
      </c>
      <c r="M65" s="691">
        <v>43.586972220751875</v>
      </c>
      <c r="N65" s="691">
        <v>43.586972220751875</v>
      </c>
      <c r="O65" s="691">
        <v>43.586972220751875</v>
      </c>
      <c r="P65" s="691">
        <v>43.586972220751875</v>
      </c>
      <c r="Q65" s="691">
        <v>43.586972220751875</v>
      </c>
      <c r="R65" s="691">
        <v>37.081935229859418</v>
      </c>
      <c r="S65" s="691">
        <v>37.081935229859418</v>
      </c>
      <c r="T65" s="691">
        <v>35.949299506931766</v>
      </c>
      <c r="U65" s="691">
        <v>35.949299506931766</v>
      </c>
      <c r="V65" s="691">
        <v>35.603915527224196</v>
      </c>
      <c r="W65" s="691">
        <v>35.603915527224196</v>
      </c>
      <c r="X65" s="691">
        <v>0</v>
      </c>
      <c r="Y65" s="691">
        <v>0</v>
      </c>
      <c r="Z65" s="691">
        <v>0</v>
      </c>
      <c r="AA65" s="691">
        <v>0</v>
      </c>
      <c r="AB65" s="691">
        <v>0</v>
      </c>
      <c r="AC65" s="691">
        <v>0</v>
      </c>
      <c r="AD65" s="691">
        <v>0</v>
      </c>
      <c r="AE65" s="691">
        <v>0</v>
      </c>
      <c r="AF65" s="691">
        <v>0</v>
      </c>
      <c r="AG65" s="691">
        <v>0</v>
      </c>
      <c r="AH65" s="691">
        <v>0</v>
      </c>
      <c r="AI65" s="691">
        <v>0</v>
      </c>
      <c r="AJ65" s="691">
        <v>0</v>
      </c>
      <c r="AK65" s="691">
        <v>0</v>
      </c>
      <c r="AL65" s="691">
        <v>0</v>
      </c>
      <c r="AM65" s="691">
        <v>0</v>
      </c>
      <c r="AN65" s="691">
        <v>0</v>
      </c>
      <c r="AO65" s="692">
        <v>0</v>
      </c>
      <c r="AP65" s="628"/>
      <c r="AQ65" s="690">
        <v>290598.42512504983</v>
      </c>
      <c r="AR65" s="691">
        <v>290598.42512504983</v>
      </c>
      <c r="AS65" s="691">
        <v>290598.42512504983</v>
      </c>
      <c r="AT65" s="691">
        <v>290598.42512504983</v>
      </c>
      <c r="AU65" s="691">
        <v>290598.42512504983</v>
      </c>
      <c r="AV65" s="691">
        <v>290598.42512504983</v>
      </c>
      <c r="AW65" s="691">
        <v>265622.06822752242</v>
      </c>
      <c r="AX65" s="691">
        <v>265622.06822752242</v>
      </c>
      <c r="AY65" s="691">
        <v>261285.14719191543</v>
      </c>
      <c r="AZ65" s="691">
        <v>261285.14719191543</v>
      </c>
      <c r="BA65" s="691">
        <v>256819.05603037291</v>
      </c>
      <c r="BB65" s="691">
        <v>256819.05603037291</v>
      </c>
      <c r="BC65" s="691">
        <v>7532.9773273095743</v>
      </c>
      <c r="BD65" s="691">
        <v>7532.9773273095743</v>
      </c>
      <c r="BE65" s="691">
        <v>7532.9773273095743</v>
      </c>
      <c r="BF65" s="691">
        <v>7532.9773273095743</v>
      </c>
      <c r="BG65" s="691">
        <v>0</v>
      </c>
      <c r="BH65" s="691">
        <v>0</v>
      </c>
      <c r="BI65" s="691">
        <v>0</v>
      </c>
      <c r="BJ65" s="691">
        <v>0</v>
      </c>
      <c r="BK65" s="691">
        <v>0</v>
      </c>
      <c r="BL65" s="691">
        <v>0</v>
      </c>
      <c r="BM65" s="691">
        <v>0</v>
      </c>
      <c r="BN65" s="691">
        <v>0</v>
      </c>
      <c r="BO65" s="691">
        <v>0</v>
      </c>
      <c r="BP65" s="691">
        <v>0</v>
      </c>
      <c r="BQ65" s="691">
        <v>0</v>
      </c>
      <c r="BR65" s="691">
        <v>0</v>
      </c>
      <c r="BS65" s="691">
        <v>0</v>
      </c>
      <c r="BT65" s="692">
        <v>0</v>
      </c>
    </row>
    <row r="66" spans="2:73" hidden="1" outlineLevel="1">
      <c r="B66" s="752" t="s">
        <v>208</v>
      </c>
      <c r="C66" s="752" t="s">
        <v>735</v>
      </c>
      <c r="D66" s="752" t="s">
        <v>21</v>
      </c>
      <c r="E66" s="752" t="s">
        <v>733</v>
      </c>
      <c r="F66" s="752" t="s">
        <v>746</v>
      </c>
      <c r="G66" s="752" t="s">
        <v>739</v>
      </c>
      <c r="H66" s="752">
        <v>2011</v>
      </c>
      <c r="I66" s="639" t="s">
        <v>568</v>
      </c>
      <c r="J66" s="639" t="s">
        <v>578</v>
      </c>
      <c r="K66" s="628"/>
      <c r="L66" s="690">
        <v>6.5661372807145968</v>
      </c>
      <c r="M66" s="691">
        <v>6.5661372807145968</v>
      </c>
      <c r="N66" s="691">
        <v>6.5661372807145968</v>
      </c>
      <c r="O66" s="691">
        <v>3.2686666898380965</v>
      </c>
      <c r="P66" s="691">
        <v>3.2686666898380965</v>
      </c>
      <c r="Q66" s="691">
        <v>3.2686666898380965</v>
      </c>
      <c r="R66" s="691">
        <v>0.92748561343661184</v>
      </c>
      <c r="S66" s="691">
        <v>0.92748561343661184</v>
      </c>
      <c r="T66" s="691">
        <v>0.92748561343661184</v>
      </c>
      <c r="U66" s="691">
        <v>0.92748561343661184</v>
      </c>
      <c r="V66" s="691">
        <v>0.92748561343661184</v>
      </c>
      <c r="W66" s="691">
        <v>0.92748561343661184</v>
      </c>
      <c r="X66" s="691">
        <v>0</v>
      </c>
      <c r="Y66" s="691">
        <v>0</v>
      </c>
      <c r="Z66" s="691">
        <v>0</v>
      </c>
      <c r="AA66" s="691">
        <v>0</v>
      </c>
      <c r="AB66" s="691">
        <v>0</v>
      </c>
      <c r="AC66" s="691">
        <v>0</v>
      </c>
      <c r="AD66" s="691">
        <v>0</v>
      </c>
      <c r="AE66" s="691">
        <v>0</v>
      </c>
      <c r="AF66" s="691">
        <v>0</v>
      </c>
      <c r="AG66" s="691">
        <v>0</v>
      </c>
      <c r="AH66" s="691">
        <v>0</v>
      </c>
      <c r="AI66" s="691">
        <v>0</v>
      </c>
      <c r="AJ66" s="691">
        <v>0</v>
      </c>
      <c r="AK66" s="691">
        <v>0</v>
      </c>
      <c r="AL66" s="691">
        <v>0</v>
      </c>
      <c r="AM66" s="691">
        <v>0</v>
      </c>
      <c r="AN66" s="691">
        <v>0</v>
      </c>
      <c r="AO66" s="692">
        <v>0</v>
      </c>
      <c r="AP66" s="628"/>
      <c r="AQ66" s="690">
        <v>16168.227525967908</v>
      </c>
      <c r="AR66" s="691">
        <v>16168.227525967908</v>
      </c>
      <c r="AS66" s="691">
        <v>16168.227525967908</v>
      </c>
      <c r="AT66" s="691">
        <v>7981.4936922834095</v>
      </c>
      <c r="AU66" s="691">
        <v>7981.4936922834095</v>
      </c>
      <c r="AV66" s="691">
        <v>7981.4936922834095</v>
      </c>
      <c r="AW66" s="691">
        <v>2264.7523518816165</v>
      </c>
      <c r="AX66" s="691">
        <v>2264.7523518816165</v>
      </c>
      <c r="AY66" s="691">
        <v>2264.7523518816165</v>
      </c>
      <c r="AZ66" s="691">
        <v>2264.7523518816165</v>
      </c>
      <c r="BA66" s="691">
        <v>2264.7523518816165</v>
      </c>
      <c r="BB66" s="691">
        <v>2264.7523518816165</v>
      </c>
      <c r="BC66" s="691">
        <v>0</v>
      </c>
      <c r="BD66" s="691">
        <v>0</v>
      </c>
      <c r="BE66" s="691">
        <v>0</v>
      </c>
      <c r="BF66" s="691">
        <v>0</v>
      </c>
      <c r="BG66" s="691">
        <v>0</v>
      </c>
      <c r="BH66" s="691">
        <v>0</v>
      </c>
      <c r="BI66" s="691">
        <v>0</v>
      </c>
      <c r="BJ66" s="691">
        <v>0</v>
      </c>
      <c r="BK66" s="691">
        <v>0</v>
      </c>
      <c r="BL66" s="691">
        <v>0</v>
      </c>
      <c r="BM66" s="691">
        <v>0</v>
      </c>
      <c r="BN66" s="691">
        <v>0</v>
      </c>
      <c r="BO66" s="691">
        <v>0</v>
      </c>
      <c r="BP66" s="691">
        <v>0</v>
      </c>
      <c r="BQ66" s="691">
        <v>0</v>
      </c>
      <c r="BR66" s="691">
        <v>0</v>
      </c>
      <c r="BS66" s="691">
        <v>0</v>
      </c>
      <c r="BT66" s="692">
        <v>0</v>
      </c>
    </row>
    <row r="67" spans="2:73" hidden="1" outlineLevel="1">
      <c r="B67" s="752" t="s">
        <v>208</v>
      </c>
      <c r="C67" s="752" t="s">
        <v>735</v>
      </c>
      <c r="D67" s="752" t="s">
        <v>20</v>
      </c>
      <c r="E67" s="752" t="s">
        <v>733</v>
      </c>
      <c r="F67" s="752" t="s">
        <v>746</v>
      </c>
      <c r="G67" s="752" t="s">
        <v>739</v>
      </c>
      <c r="H67" s="752">
        <v>2011</v>
      </c>
      <c r="I67" s="639" t="s">
        <v>568</v>
      </c>
      <c r="J67" s="639" t="s">
        <v>578</v>
      </c>
      <c r="K67" s="628"/>
      <c r="L67" s="690">
        <v>10.354349259129565</v>
      </c>
      <c r="M67" s="691">
        <v>10.354349259129565</v>
      </c>
      <c r="N67" s="691">
        <v>10.354349259129565</v>
      </c>
      <c r="O67" s="691">
        <v>10.354349259129565</v>
      </c>
      <c r="P67" s="691">
        <v>10.354349259129565</v>
      </c>
      <c r="Q67" s="691">
        <v>0</v>
      </c>
      <c r="R67" s="691">
        <v>0</v>
      </c>
      <c r="S67" s="691">
        <v>0</v>
      </c>
      <c r="T67" s="691">
        <v>0</v>
      </c>
      <c r="U67" s="691">
        <v>0</v>
      </c>
      <c r="V67" s="691">
        <v>0</v>
      </c>
      <c r="W67" s="691">
        <v>0</v>
      </c>
      <c r="X67" s="691">
        <v>0</v>
      </c>
      <c r="Y67" s="691">
        <v>0</v>
      </c>
      <c r="Z67" s="691">
        <v>0</v>
      </c>
      <c r="AA67" s="691">
        <v>0</v>
      </c>
      <c r="AB67" s="691">
        <v>0</v>
      </c>
      <c r="AC67" s="691">
        <v>0</v>
      </c>
      <c r="AD67" s="691">
        <v>0</v>
      </c>
      <c r="AE67" s="691">
        <v>0</v>
      </c>
      <c r="AF67" s="691">
        <v>0</v>
      </c>
      <c r="AG67" s="691">
        <v>0</v>
      </c>
      <c r="AH67" s="691">
        <v>0</v>
      </c>
      <c r="AI67" s="691">
        <v>0</v>
      </c>
      <c r="AJ67" s="691">
        <v>0</v>
      </c>
      <c r="AK67" s="691">
        <v>0</v>
      </c>
      <c r="AL67" s="691">
        <v>0</v>
      </c>
      <c r="AM67" s="691">
        <v>0</v>
      </c>
      <c r="AN67" s="691">
        <v>0</v>
      </c>
      <c r="AO67" s="692">
        <v>0</v>
      </c>
      <c r="AP67" s="628"/>
      <c r="AQ67" s="690">
        <v>50352.508925126152</v>
      </c>
      <c r="AR67" s="691">
        <v>50352.508925126152</v>
      </c>
      <c r="AS67" s="691">
        <v>50352.508925126152</v>
      </c>
      <c r="AT67" s="691">
        <v>50352.508925126152</v>
      </c>
      <c r="AU67" s="691">
        <v>50352.508925126152</v>
      </c>
      <c r="AV67" s="691">
        <v>0</v>
      </c>
      <c r="AW67" s="691">
        <v>0</v>
      </c>
      <c r="AX67" s="691">
        <v>0</v>
      </c>
      <c r="AY67" s="691">
        <v>0</v>
      </c>
      <c r="AZ67" s="691">
        <v>0</v>
      </c>
      <c r="BA67" s="691">
        <v>0</v>
      </c>
      <c r="BB67" s="691">
        <v>0</v>
      </c>
      <c r="BC67" s="691">
        <v>0</v>
      </c>
      <c r="BD67" s="691">
        <v>0</v>
      </c>
      <c r="BE67" s="691">
        <v>0</v>
      </c>
      <c r="BF67" s="691">
        <v>0</v>
      </c>
      <c r="BG67" s="691">
        <v>0</v>
      </c>
      <c r="BH67" s="691">
        <v>0</v>
      </c>
      <c r="BI67" s="691">
        <v>0</v>
      </c>
      <c r="BJ67" s="691">
        <v>0</v>
      </c>
      <c r="BK67" s="691">
        <v>0</v>
      </c>
      <c r="BL67" s="691">
        <v>0</v>
      </c>
      <c r="BM67" s="691">
        <v>0</v>
      </c>
      <c r="BN67" s="691">
        <v>0</v>
      </c>
      <c r="BO67" s="691">
        <v>0</v>
      </c>
      <c r="BP67" s="691">
        <v>0</v>
      </c>
      <c r="BQ67" s="691">
        <v>0</v>
      </c>
      <c r="BR67" s="691">
        <v>0</v>
      </c>
      <c r="BS67" s="691">
        <v>0</v>
      </c>
      <c r="BT67" s="692">
        <v>0</v>
      </c>
    </row>
    <row r="68" spans="2:73" hidden="1" outlineLevel="1">
      <c r="B68" s="752" t="s">
        <v>208</v>
      </c>
      <c r="C68" s="752" t="s">
        <v>745</v>
      </c>
      <c r="D68" s="752" t="s">
        <v>17</v>
      </c>
      <c r="E68" s="752" t="s">
        <v>733</v>
      </c>
      <c r="F68" s="752" t="s">
        <v>746</v>
      </c>
      <c r="G68" s="752" t="s">
        <v>739</v>
      </c>
      <c r="H68" s="752">
        <v>2011</v>
      </c>
      <c r="I68" s="639" t="s">
        <v>568</v>
      </c>
      <c r="J68" s="639" t="s">
        <v>578</v>
      </c>
      <c r="K68" s="628"/>
      <c r="L68" s="690">
        <v>8.9816233476146508</v>
      </c>
      <c r="M68" s="691">
        <v>8.9816233476146508</v>
      </c>
      <c r="N68" s="691">
        <v>8.9816233476146508</v>
      </c>
      <c r="O68" s="691">
        <v>8.9816233476146508</v>
      </c>
      <c r="P68" s="691">
        <v>8.9816233476146508</v>
      </c>
      <c r="Q68" s="691">
        <v>8.9816233476146508</v>
      </c>
      <c r="R68" s="691">
        <v>8.9816233476146508</v>
      </c>
      <c r="S68" s="691">
        <v>8.9816233476146508</v>
      </c>
      <c r="T68" s="691">
        <v>8.9816233476146508</v>
      </c>
      <c r="U68" s="691">
        <v>8.9816233476146508</v>
      </c>
      <c r="V68" s="691">
        <v>8.9816233476146508</v>
      </c>
      <c r="W68" s="691">
        <v>8.9816233476146508</v>
      </c>
      <c r="X68" s="691">
        <v>8.9816233476146508</v>
      </c>
      <c r="Y68" s="691">
        <v>8.9816233476146508</v>
      </c>
      <c r="Z68" s="691">
        <v>8.9816233476146508</v>
      </c>
      <c r="AA68" s="691">
        <v>0</v>
      </c>
      <c r="AB68" s="691">
        <v>0</v>
      </c>
      <c r="AC68" s="691">
        <v>0</v>
      </c>
      <c r="AD68" s="691">
        <v>0</v>
      </c>
      <c r="AE68" s="691">
        <v>0</v>
      </c>
      <c r="AF68" s="691">
        <v>0</v>
      </c>
      <c r="AG68" s="691">
        <v>0</v>
      </c>
      <c r="AH68" s="691">
        <v>0</v>
      </c>
      <c r="AI68" s="691">
        <v>0</v>
      </c>
      <c r="AJ68" s="691">
        <v>0</v>
      </c>
      <c r="AK68" s="691">
        <v>0</v>
      </c>
      <c r="AL68" s="691">
        <v>0</v>
      </c>
      <c r="AM68" s="691">
        <v>0</v>
      </c>
      <c r="AN68" s="691">
        <v>0</v>
      </c>
      <c r="AO68" s="692">
        <v>0</v>
      </c>
      <c r="AP68" s="628"/>
      <c r="AQ68" s="690">
        <v>7794.1175133488414</v>
      </c>
      <c r="AR68" s="691">
        <v>7794.1175133488414</v>
      </c>
      <c r="AS68" s="691">
        <v>7794.1175133488414</v>
      </c>
      <c r="AT68" s="691">
        <v>7794.1175133488414</v>
      </c>
      <c r="AU68" s="691">
        <v>7794.1175133488396</v>
      </c>
      <c r="AV68" s="691">
        <v>7794.1175133488396</v>
      </c>
      <c r="AW68" s="691">
        <v>7794.1175133488396</v>
      </c>
      <c r="AX68" s="691">
        <v>7794.1175133488396</v>
      </c>
      <c r="AY68" s="691">
        <v>7794.1175133488396</v>
      </c>
      <c r="AZ68" s="691">
        <v>7794.1175133488396</v>
      </c>
      <c r="BA68" s="691">
        <v>7794.1175133488396</v>
      </c>
      <c r="BB68" s="691">
        <v>7794.1175133488396</v>
      </c>
      <c r="BC68" s="691">
        <v>7794.1175133488396</v>
      </c>
      <c r="BD68" s="691">
        <v>7794.1175133488396</v>
      </c>
      <c r="BE68" s="691">
        <v>7794.1175133488396</v>
      </c>
      <c r="BF68" s="691">
        <v>0</v>
      </c>
      <c r="BG68" s="691">
        <v>0</v>
      </c>
      <c r="BH68" s="691">
        <v>0</v>
      </c>
      <c r="BI68" s="691">
        <v>0</v>
      </c>
      <c r="BJ68" s="691">
        <v>0</v>
      </c>
      <c r="BK68" s="691">
        <v>0</v>
      </c>
      <c r="BL68" s="691">
        <v>0</v>
      </c>
      <c r="BM68" s="691">
        <v>0</v>
      </c>
      <c r="BN68" s="691">
        <v>0</v>
      </c>
      <c r="BO68" s="691">
        <v>0</v>
      </c>
      <c r="BP68" s="691">
        <v>0</v>
      </c>
      <c r="BQ68" s="691">
        <v>0</v>
      </c>
      <c r="BR68" s="691">
        <v>0</v>
      </c>
      <c r="BS68" s="691">
        <v>0</v>
      </c>
      <c r="BT68" s="692">
        <v>0</v>
      </c>
    </row>
    <row r="69" spans="2:73" hidden="1" outlineLevel="1">
      <c r="B69" s="752" t="s">
        <v>208</v>
      </c>
      <c r="C69" s="752" t="s">
        <v>745</v>
      </c>
      <c r="D69" s="752" t="s">
        <v>747</v>
      </c>
      <c r="E69" s="752" t="s">
        <v>733</v>
      </c>
      <c r="F69" s="752" t="s">
        <v>746</v>
      </c>
      <c r="G69" s="752" t="s">
        <v>739</v>
      </c>
      <c r="H69" s="752">
        <v>2011</v>
      </c>
      <c r="I69" s="639" t="s">
        <v>568</v>
      </c>
      <c r="J69" s="639" t="s">
        <v>578</v>
      </c>
      <c r="K69" s="628"/>
      <c r="L69" s="690">
        <v>23.283660400000002</v>
      </c>
      <c r="M69" s="691">
        <v>23.283660400000002</v>
      </c>
      <c r="N69" s="691">
        <v>23.283660400000002</v>
      </c>
      <c r="O69" s="691">
        <v>23.283660400000002</v>
      </c>
      <c r="P69" s="691">
        <v>23.283660399999999</v>
      </c>
      <c r="Q69" s="691">
        <v>23.283660399999999</v>
      </c>
      <c r="R69" s="691">
        <v>23.283660399999999</v>
      </c>
      <c r="S69" s="691">
        <v>23.283660399999999</v>
      </c>
      <c r="T69" s="691">
        <v>0</v>
      </c>
      <c r="U69" s="691">
        <v>0</v>
      </c>
      <c r="V69" s="691">
        <v>0</v>
      </c>
      <c r="W69" s="691">
        <v>0</v>
      </c>
      <c r="X69" s="691">
        <v>0</v>
      </c>
      <c r="Y69" s="691">
        <v>0</v>
      </c>
      <c r="Z69" s="691">
        <v>0</v>
      </c>
      <c r="AA69" s="691">
        <v>0</v>
      </c>
      <c r="AB69" s="691">
        <v>0</v>
      </c>
      <c r="AC69" s="691">
        <v>0</v>
      </c>
      <c r="AD69" s="691">
        <v>0</v>
      </c>
      <c r="AE69" s="691">
        <v>0</v>
      </c>
      <c r="AF69" s="691">
        <v>0</v>
      </c>
      <c r="AG69" s="691">
        <v>0</v>
      </c>
      <c r="AH69" s="691">
        <v>0</v>
      </c>
      <c r="AI69" s="691">
        <v>0</v>
      </c>
      <c r="AJ69" s="691">
        <v>0</v>
      </c>
      <c r="AK69" s="691">
        <v>0</v>
      </c>
      <c r="AL69" s="691">
        <v>0</v>
      </c>
      <c r="AM69" s="691">
        <v>0</v>
      </c>
      <c r="AN69" s="691">
        <v>0</v>
      </c>
      <c r="AO69" s="692">
        <v>0</v>
      </c>
      <c r="AP69" s="628"/>
      <c r="AQ69" s="690">
        <v>141575.81502064</v>
      </c>
      <c r="AR69" s="691">
        <v>141575.81502064</v>
      </c>
      <c r="AS69" s="691">
        <v>141575.81502064</v>
      </c>
      <c r="AT69" s="691">
        <v>141575.81502064</v>
      </c>
      <c r="AU69" s="691">
        <v>141575.81502064</v>
      </c>
      <c r="AV69" s="691">
        <v>141575.81502064</v>
      </c>
      <c r="AW69" s="691">
        <v>141575.81502064</v>
      </c>
      <c r="AX69" s="691">
        <v>141575.81502064</v>
      </c>
      <c r="AY69" s="691">
        <v>0</v>
      </c>
      <c r="AZ69" s="691">
        <v>0</v>
      </c>
      <c r="BA69" s="691">
        <v>0</v>
      </c>
      <c r="BB69" s="691">
        <v>0</v>
      </c>
      <c r="BC69" s="691">
        <v>0</v>
      </c>
      <c r="BD69" s="691">
        <v>0</v>
      </c>
      <c r="BE69" s="691">
        <v>0</v>
      </c>
      <c r="BF69" s="691">
        <v>0</v>
      </c>
      <c r="BG69" s="691">
        <v>0</v>
      </c>
      <c r="BH69" s="691">
        <v>0</v>
      </c>
      <c r="BI69" s="691">
        <v>0</v>
      </c>
      <c r="BJ69" s="691">
        <v>0</v>
      </c>
      <c r="BK69" s="691">
        <v>0</v>
      </c>
      <c r="BL69" s="691">
        <v>0</v>
      </c>
      <c r="BM69" s="691">
        <v>0</v>
      </c>
      <c r="BN69" s="691">
        <v>0</v>
      </c>
      <c r="BO69" s="691">
        <v>0</v>
      </c>
      <c r="BP69" s="691">
        <v>0</v>
      </c>
      <c r="BQ69" s="691">
        <v>0</v>
      </c>
      <c r="BR69" s="691">
        <v>0</v>
      </c>
      <c r="BS69" s="691">
        <v>0</v>
      </c>
      <c r="BT69" s="692">
        <v>0</v>
      </c>
    </row>
    <row r="70" spans="2:73" hidden="1" outlineLevel="1">
      <c r="B70" s="752" t="s">
        <v>208</v>
      </c>
      <c r="C70" s="752" t="s">
        <v>731</v>
      </c>
      <c r="D70" s="752" t="s">
        <v>3</v>
      </c>
      <c r="E70" s="752" t="s">
        <v>733</v>
      </c>
      <c r="F70" s="752" t="s">
        <v>29</v>
      </c>
      <c r="G70" s="752" t="s">
        <v>739</v>
      </c>
      <c r="H70" s="752">
        <v>2011</v>
      </c>
      <c r="I70" s="639" t="s">
        <v>568</v>
      </c>
      <c r="J70" s="639" t="s">
        <v>578</v>
      </c>
      <c r="K70" s="628"/>
      <c r="L70" s="690">
        <v>-107.54032552785525</v>
      </c>
      <c r="M70" s="691">
        <v>-107.54032552785525</v>
      </c>
      <c r="N70" s="691">
        <v>-107.54032552785525</v>
      </c>
      <c r="O70" s="691">
        <v>-107.54032552785525</v>
      </c>
      <c r="P70" s="691">
        <v>-107.54032552785525</v>
      </c>
      <c r="Q70" s="691">
        <v>-107.54032552785525</v>
      </c>
      <c r="R70" s="691">
        <v>-107.54032552785525</v>
      </c>
      <c r="S70" s="691">
        <v>-107.54032552785525</v>
      </c>
      <c r="T70" s="691">
        <v>-107.54032552785525</v>
      </c>
      <c r="U70" s="691">
        <v>-107.54032552785525</v>
      </c>
      <c r="V70" s="691">
        <v>-107.54032552785525</v>
      </c>
      <c r="W70" s="691">
        <v>-107.54032552785525</v>
      </c>
      <c r="X70" s="691">
        <v>-107.54032552785525</v>
      </c>
      <c r="Y70" s="691">
        <v>-107.54032552785525</v>
      </c>
      <c r="Z70" s="691">
        <v>-107.54032552785525</v>
      </c>
      <c r="AA70" s="691">
        <v>-107.54032552785525</v>
      </c>
      <c r="AB70" s="691">
        <v>-107.54032552785525</v>
      </c>
      <c r="AC70" s="691">
        <v>-107.54032552785525</v>
      </c>
      <c r="AD70" s="691">
        <v>-84.020279366690545</v>
      </c>
      <c r="AE70" s="691">
        <v>0</v>
      </c>
      <c r="AF70" s="691">
        <v>0</v>
      </c>
      <c r="AG70" s="691">
        <v>0</v>
      </c>
      <c r="AH70" s="691">
        <v>0</v>
      </c>
      <c r="AI70" s="691">
        <v>0</v>
      </c>
      <c r="AJ70" s="691">
        <v>0</v>
      </c>
      <c r="AK70" s="691">
        <v>0</v>
      </c>
      <c r="AL70" s="691">
        <v>0</v>
      </c>
      <c r="AM70" s="691">
        <v>0</v>
      </c>
      <c r="AN70" s="691">
        <v>0</v>
      </c>
      <c r="AO70" s="692">
        <v>0</v>
      </c>
      <c r="AP70" s="628"/>
      <c r="AQ70" s="690">
        <v>-193765.30453962344</v>
      </c>
      <c r="AR70" s="691">
        <v>-193765.30453962344</v>
      </c>
      <c r="AS70" s="691">
        <v>-193765.30453962344</v>
      </c>
      <c r="AT70" s="691">
        <v>-193765.30453962344</v>
      </c>
      <c r="AU70" s="691">
        <v>-193765.30453962344</v>
      </c>
      <c r="AV70" s="691">
        <v>-193765.30453962344</v>
      </c>
      <c r="AW70" s="691">
        <v>-193765.30453962344</v>
      </c>
      <c r="AX70" s="691">
        <v>-193765.30453962344</v>
      </c>
      <c r="AY70" s="691">
        <v>-193765.30453962344</v>
      </c>
      <c r="AZ70" s="691">
        <v>-193765.30453962344</v>
      </c>
      <c r="BA70" s="691">
        <v>-193765.30453962344</v>
      </c>
      <c r="BB70" s="691">
        <v>-193765.30453962344</v>
      </c>
      <c r="BC70" s="691">
        <v>-193765.30453962344</v>
      </c>
      <c r="BD70" s="691">
        <v>-193765.30453962344</v>
      </c>
      <c r="BE70" s="691">
        <v>-193765.30453962344</v>
      </c>
      <c r="BF70" s="691">
        <v>-193765.30453962344</v>
      </c>
      <c r="BG70" s="691">
        <v>-193765.30453962344</v>
      </c>
      <c r="BH70" s="691">
        <v>-193765.30453962344</v>
      </c>
      <c r="BI70" s="691">
        <v>-172768.38795819553</v>
      </c>
      <c r="BJ70" s="691">
        <v>0</v>
      </c>
      <c r="BK70" s="691">
        <v>0</v>
      </c>
      <c r="BL70" s="691">
        <v>0</v>
      </c>
      <c r="BM70" s="691">
        <v>0</v>
      </c>
      <c r="BN70" s="691">
        <v>0</v>
      </c>
      <c r="BO70" s="691">
        <v>0</v>
      </c>
      <c r="BP70" s="691">
        <v>0</v>
      </c>
      <c r="BQ70" s="691">
        <v>0</v>
      </c>
      <c r="BR70" s="691">
        <v>0</v>
      </c>
      <c r="BS70" s="691">
        <v>0</v>
      </c>
      <c r="BT70" s="692">
        <v>0</v>
      </c>
    </row>
    <row r="71" spans="2:73" hidden="1" outlineLevel="1">
      <c r="B71" s="752" t="s">
        <v>208</v>
      </c>
      <c r="C71" s="752" t="s">
        <v>731</v>
      </c>
      <c r="D71" s="752" t="s">
        <v>5</v>
      </c>
      <c r="E71" s="752" t="s">
        <v>733</v>
      </c>
      <c r="F71" s="752" t="s">
        <v>29</v>
      </c>
      <c r="G71" s="752" t="s">
        <v>739</v>
      </c>
      <c r="H71" s="752">
        <v>2011</v>
      </c>
      <c r="I71" s="639" t="s">
        <v>568</v>
      </c>
      <c r="J71" s="639" t="s">
        <v>578</v>
      </c>
      <c r="K71" s="628"/>
      <c r="L71" s="690">
        <v>1.7592749373159335</v>
      </c>
      <c r="M71" s="691">
        <v>1.7592749373159335</v>
      </c>
      <c r="N71" s="691">
        <v>1.7592749373159335</v>
      </c>
      <c r="O71" s="691">
        <v>1.7592749373159335</v>
      </c>
      <c r="P71" s="691">
        <v>1.7592749373159335</v>
      </c>
      <c r="Q71" s="691">
        <v>1.6087514598038006</v>
      </c>
      <c r="R71" s="691">
        <v>0.91932741751587566</v>
      </c>
      <c r="S71" s="691">
        <v>0.91892110562651985</v>
      </c>
      <c r="T71" s="691">
        <v>0.91892110562651985</v>
      </c>
      <c r="U71" s="691">
        <v>0.28855019720160946</v>
      </c>
      <c r="V71" s="691">
        <v>0.11988903047111307</v>
      </c>
      <c r="W71" s="691">
        <v>0.119856937245751</v>
      </c>
      <c r="X71" s="691">
        <v>0.119856937245751</v>
      </c>
      <c r="Y71" s="691">
        <v>0.11434595136315105</v>
      </c>
      <c r="Z71" s="691">
        <v>0.11434595136315105</v>
      </c>
      <c r="AA71" s="691">
        <v>0.11409361046940354</v>
      </c>
      <c r="AB71" s="691">
        <v>0</v>
      </c>
      <c r="AC71" s="691">
        <v>0</v>
      </c>
      <c r="AD71" s="691">
        <v>0</v>
      </c>
      <c r="AE71" s="691">
        <v>0</v>
      </c>
      <c r="AF71" s="691">
        <v>0</v>
      </c>
      <c r="AG71" s="691">
        <v>0</v>
      </c>
      <c r="AH71" s="691">
        <v>0</v>
      </c>
      <c r="AI71" s="691">
        <v>0</v>
      </c>
      <c r="AJ71" s="691">
        <v>0</v>
      </c>
      <c r="AK71" s="691">
        <v>0</v>
      </c>
      <c r="AL71" s="691">
        <v>0</v>
      </c>
      <c r="AM71" s="691">
        <v>0</v>
      </c>
      <c r="AN71" s="691">
        <v>0</v>
      </c>
      <c r="AO71" s="692">
        <v>0</v>
      </c>
      <c r="AP71" s="628"/>
      <c r="AQ71" s="693">
        <v>35611.345083591696</v>
      </c>
      <c r="AR71" s="694">
        <v>35611.345083591696</v>
      </c>
      <c r="AS71" s="694">
        <v>35611.345083591696</v>
      </c>
      <c r="AT71" s="694">
        <v>35611.345083591696</v>
      </c>
      <c r="AU71" s="694">
        <v>35611.345083591696</v>
      </c>
      <c r="AV71" s="694">
        <v>32360.505187270915</v>
      </c>
      <c r="AW71" s="694">
        <v>17471.085814325073</v>
      </c>
      <c r="AX71" s="694">
        <v>17467.526522174314</v>
      </c>
      <c r="AY71" s="694">
        <v>17467.526522174314</v>
      </c>
      <c r="AZ71" s="694">
        <v>3853.4715424619794</v>
      </c>
      <c r="BA71" s="694">
        <v>3237.3452737727694</v>
      </c>
      <c r="BB71" s="694">
        <v>2972.8603832871413</v>
      </c>
      <c r="BC71" s="694">
        <v>2972.8603832871413</v>
      </c>
      <c r="BD71" s="694">
        <v>2467.0344139420699</v>
      </c>
      <c r="BE71" s="694">
        <v>2467.0344139420699</v>
      </c>
      <c r="BF71" s="694">
        <v>2464.0678448272147</v>
      </c>
      <c r="BG71" s="694">
        <v>0</v>
      </c>
      <c r="BH71" s="694">
        <v>0</v>
      </c>
      <c r="BI71" s="694">
        <v>0</v>
      </c>
      <c r="BJ71" s="694">
        <v>0</v>
      </c>
      <c r="BK71" s="694">
        <v>0</v>
      </c>
      <c r="BL71" s="694">
        <v>0</v>
      </c>
      <c r="BM71" s="694">
        <v>0</v>
      </c>
      <c r="BN71" s="694">
        <v>0</v>
      </c>
      <c r="BO71" s="694">
        <v>0</v>
      </c>
      <c r="BP71" s="694">
        <v>0</v>
      </c>
      <c r="BQ71" s="694">
        <v>0</v>
      </c>
      <c r="BR71" s="694">
        <v>0</v>
      </c>
      <c r="BS71" s="694">
        <v>0</v>
      </c>
      <c r="BT71" s="695">
        <v>0</v>
      </c>
    </row>
    <row r="72" spans="2:73" hidden="1" outlineLevel="1">
      <c r="B72" s="752" t="s">
        <v>208</v>
      </c>
      <c r="C72" s="752" t="s">
        <v>731</v>
      </c>
      <c r="D72" s="752" t="s">
        <v>4</v>
      </c>
      <c r="E72" s="752" t="s">
        <v>733</v>
      </c>
      <c r="F72" s="752" t="s">
        <v>29</v>
      </c>
      <c r="G72" s="752" t="s">
        <v>739</v>
      </c>
      <c r="H72" s="752">
        <v>2011</v>
      </c>
      <c r="I72" s="639" t="s">
        <v>568</v>
      </c>
      <c r="J72" s="639" t="s">
        <v>578</v>
      </c>
      <c r="K72" s="628"/>
      <c r="L72" s="690">
        <v>0.26257633623855814</v>
      </c>
      <c r="M72" s="691">
        <v>0.26257633623855814</v>
      </c>
      <c r="N72" s="691">
        <v>0.26257633623855814</v>
      </c>
      <c r="O72" s="691">
        <v>0.26257633623855814</v>
      </c>
      <c r="P72" s="691">
        <v>0.26257633623855814</v>
      </c>
      <c r="Q72" s="691">
        <v>0.24460670475828517</v>
      </c>
      <c r="R72" s="691">
        <v>0.17109011402977262</v>
      </c>
      <c r="S72" s="691">
        <v>0.17069841987400053</v>
      </c>
      <c r="T72" s="691">
        <v>0.17069841987400053</v>
      </c>
      <c r="U72" s="691">
        <v>9.544415982431842E-2</v>
      </c>
      <c r="V72" s="691">
        <v>1.2616422687358174E-2</v>
      </c>
      <c r="W72" s="691">
        <v>1.2603114748300495E-2</v>
      </c>
      <c r="X72" s="691">
        <v>1.2603114748300495E-2</v>
      </c>
      <c r="Y72" s="691">
        <v>1.2275884821036647E-2</v>
      </c>
      <c r="Z72" s="691">
        <v>1.2275884821036647E-2</v>
      </c>
      <c r="AA72" s="691">
        <v>1.2051366010146317E-2</v>
      </c>
      <c r="AB72" s="691">
        <v>0</v>
      </c>
      <c r="AC72" s="691">
        <v>0</v>
      </c>
      <c r="AD72" s="691">
        <v>0</v>
      </c>
      <c r="AE72" s="691">
        <v>0</v>
      </c>
      <c r="AF72" s="691">
        <v>0</v>
      </c>
      <c r="AG72" s="691">
        <v>0</v>
      </c>
      <c r="AH72" s="691">
        <v>0</v>
      </c>
      <c r="AI72" s="691">
        <v>0</v>
      </c>
      <c r="AJ72" s="691">
        <v>0</v>
      </c>
      <c r="AK72" s="691">
        <v>0</v>
      </c>
      <c r="AL72" s="691">
        <v>0</v>
      </c>
      <c r="AM72" s="691">
        <v>0</v>
      </c>
      <c r="AN72" s="691">
        <v>0</v>
      </c>
      <c r="AO72" s="692">
        <v>0</v>
      </c>
      <c r="AP72" s="628"/>
      <c r="AQ72" s="687">
        <v>4495.9657689369305</v>
      </c>
      <c r="AR72" s="688">
        <v>4495.9657689369305</v>
      </c>
      <c r="AS72" s="688">
        <v>4495.9657689369305</v>
      </c>
      <c r="AT72" s="688">
        <v>4495.9657689369305</v>
      </c>
      <c r="AU72" s="688">
        <v>4495.9657689369305</v>
      </c>
      <c r="AV72" s="688">
        <v>4107.8775058714928</v>
      </c>
      <c r="AW72" s="688">
        <v>2520.14733824717</v>
      </c>
      <c r="AX72" s="688">
        <v>2516.716097442606</v>
      </c>
      <c r="AY72" s="688">
        <v>2516.716097442606</v>
      </c>
      <c r="AZ72" s="688">
        <v>891.45766612655893</v>
      </c>
      <c r="BA72" s="688">
        <v>402.61903441900267</v>
      </c>
      <c r="BB72" s="688">
        <v>292.94639277734683</v>
      </c>
      <c r="BC72" s="688">
        <v>292.94639277734683</v>
      </c>
      <c r="BD72" s="688">
        <v>262.91158617775824</v>
      </c>
      <c r="BE72" s="688">
        <v>262.91158617775824</v>
      </c>
      <c r="BF72" s="688">
        <v>260.27209893413431</v>
      </c>
      <c r="BG72" s="688">
        <v>0</v>
      </c>
      <c r="BH72" s="688">
        <v>0</v>
      </c>
      <c r="BI72" s="688">
        <v>0</v>
      </c>
      <c r="BJ72" s="688">
        <v>0</v>
      </c>
      <c r="BK72" s="688">
        <v>0</v>
      </c>
      <c r="BL72" s="688">
        <v>0</v>
      </c>
      <c r="BM72" s="688">
        <v>0</v>
      </c>
      <c r="BN72" s="688">
        <v>0</v>
      </c>
      <c r="BO72" s="688">
        <v>0</v>
      </c>
      <c r="BP72" s="688">
        <v>0</v>
      </c>
      <c r="BQ72" s="688">
        <v>0</v>
      </c>
      <c r="BR72" s="688">
        <v>0</v>
      </c>
      <c r="BS72" s="688">
        <v>0</v>
      </c>
      <c r="BT72" s="689">
        <v>0</v>
      </c>
    </row>
    <row r="73" spans="2:73" hidden="1" outlineLevel="1">
      <c r="B73" s="752" t="s">
        <v>208</v>
      </c>
      <c r="C73" s="752" t="s">
        <v>735</v>
      </c>
      <c r="D73" s="752" t="s">
        <v>732</v>
      </c>
      <c r="E73" s="752" t="s">
        <v>733</v>
      </c>
      <c r="F73" s="752" t="s">
        <v>736</v>
      </c>
      <c r="G73" s="752" t="s">
        <v>734</v>
      </c>
      <c r="H73" s="752">
        <v>2011</v>
      </c>
      <c r="I73" s="639" t="s">
        <v>569</v>
      </c>
      <c r="J73" s="639" t="s">
        <v>578</v>
      </c>
      <c r="K73" s="628"/>
      <c r="L73" s="690">
        <v>0</v>
      </c>
      <c r="M73" s="691">
        <v>0</v>
      </c>
      <c r="N73" s="691">
        <v>5.76</v>
      </c>
      <c r="O73" s="691">
        <v>0</v>
      </c>
      <c r="P73" s="691">
        <v>0</v>
      </c>
      <c r="Q73" s="691">
        <v>0</v>
      </c>
      <c r="R73" s="691">
        <v>0</v>
      </c>
      <c r="S73" s="691">
        <v>0</v>
      </c>
      <c r="T73" s="691">
        <v>0</v>
      </c>
      <c r="U73" s="691">
        <v>0</v>
      </c>
      <c r="V73" s="691">
        <v>0</v>
      </c>
      <c r="W73" s="691">
        <v>0</v>
      </c>
      <c r="X73" s="691">
        <v>0</v>
      </c>
      <c r="Y73" s="691">
        <v>0</v>
      </c>
      <c r="Z73" s="691">
        <v>0</v>
      </c>
      <c r="AA73" s="691">
        <v>0</v>
      </c>
      <c r="AB73" s="691">
        <v>0</v>
      </c>
      <c r="AC73" s="691">
        <v>0</v>
      </c>
      <c r="AD73" s="691">
        <v>0</v>
      </c>
      <c r="AE73" s="691">
        <v>0</v>
      </c>
      <c r="AF73" s="691">
        <v>0</v>
      </c>
      <c r="AG73" s="691">
        <v>0</v>
      </c>
      <c r="AH73" s="691">
        <v>0</v>
      </c>
      <c r="AI73" s="691">
        <v>0</v>
      </c>
      <c r="AJ73" s="691">
        <v>0</v>
      </c>
      <c r="AK73" s="691">
        <v>0</v>
      </c>
      <c r="AL73" s="691">
        <v>0</v>
      </c>
      <c r="AM73" s="691">
        <v>0</v>
      </c>
      <c r="AN73" s="691">
        <v>0</v>
      </c>
      <c r="AO73" s="692">
        <v>0</v>
      </c>
      <c r="AP73" s="628"/>
      <c r="AQ73" s="690">
        <v>0</v>
      </c>
      <c r="AR73" s="691">
        <v>0</v>
      </c>
      <c r="AS73" s="691">
        <v>9.1885080000000006</v>
      </c>
      <c r="AT73" s="691">
        <v>0</v>
      </c>
      <c r="AU73" s="691">
        <v>0</v>
      </c>
      <c r="AV73" s="691">
        <v>0</v>
      </c>
      <c r="AW73" s="691">
        <v>0</v>
      </c>
      <c r="AX73" s="691">
        <v>0</v>
      </c>
      <c r="AY73" s="691">
        <v>0</v>
      </c>
      <c r="AZ73" s="691">
        <v>0</v>
      </c>
      <c r="BA73" s="691">
        <v>0</v>
      </c>
      <c r="BB73" s="691">
        <v>0</v>
      </c>
      <c r="BC73" s="691">
        <v>0</v>
      </c>
      <c r="BD73" s="691">
        <v>0</v>
      </c>
      <c r="BE73" s="691">
        <v>0</v>
      </c>
      <c r="BF73" s="691">
        <v>0</v>
      </c>
      <c r="BG73" s="691">
        <v>0</v>
      </c>
      <c r="BH73" s="691">
        <v>0</v>
      </c>
      <c r="BI73" s="691">
        <v>0</v>
      </c>
      <c r="BJ73" s="691">
        <v>0</v>
      </c>
      <c r="BK73" s="691">
        <v>0</v>
      </c>
      <c r="BL73" s="691">
        <v>0</v>
      </c>
      <c r="BM73" s="691">
        <v>0</v>
      </c>
      <c r="BN73" s="691">
        <v>0</v>
      </c>
      <c r="BO73" s="691">
        <v>0</v>
      </c>
      <c r="BP73" s="691">
        <v>0</v>
      </c>
      <c r="BQ73" s="691">
        <v>0</v>
      </c>
      <c r="BR73" s="691">
        <v>0</v>
      </c>
      <c r="BS73" s="691">
        <v>0</v>
      </c>
      <c r="BT73" s="692">
        <v>0</v>
      </c>
    </row>
    <row r="74" spans="2:73" hidden="1" outlineLevel="1">
      <c r="B74" s="752" t="s">
        <v>208</v>
      </c>
      <c r="C74" s="752" t="s">
        <v>731</v>
      </c>
      <c r="D74" s="752" t="s">
        <v>748</v>
      </c>
      <c r="E74" s="752" t="s">
        <v>733</v>
      </c>
      <c r="F74" s="752" t="s">
        <v>29</v>
      </c>
      <c r="G74" s="752" t="s">
        <v>739</v>
      </c>
      <c r="H74" s="752">
        <v>2011</v>
      </c>
      <c r="I74" s="639" t="s">
        <v>569</v>
      </c>
      <c r="J74" s="639" t="s">
        <v>578</v>
      </c>
      <c r="K74" s="628"/>
      <c r="L74" s="690">
        <v>0.36971780100000001</v>
      </c>
      <c r="M74" s="691">
        <v>0.36971780100000001</v>
      </c>
      <c r="N74" s="691">
        <v>0.36971780100000001</v>
      </c>
      <c r="O74" s="691">
        <v>0.36971780100000001</v>
      </c>
      <c r="P74" s="691">
        <v>0.36971780100000001</v>
      </c>
      <c r="Q74" s="691">
        <v>0.36971780100000001</v>
      </c>
      <c r="R74" s="691">
        <v>0.36971780100000001</v>
      </c>
      <c r="S74" s="691">
        <v>0.36971780100000001</v>
      </c>
      <c r="T74" s="691">
        <v>0.36971780100000001</v>
      </c>
      <c r="U74" s="691">
        <v>0.36971780100000001</v>
      </c>
      <c r="V74" s="691">
        <v>0.36971780100000001</v>
      </c>
      <c r="W74" s="691">
        <v>0.36971780100000001</v>
      </c>
      <c r="X74" s="691">
        <v>0.36971780100000001</v>
      </c>
      <c r="Y74" s="691">
        <v>0.36971780100000001</v>
      </c>
      <c r="Z74" s="691">
        <v>0.36971780100000001</v>
      </c>
      <c r="AA74" s="691">
        <v>0.36971780100000001</v>
      </c>
      <c r="AB74" s="691">
        <v>0.36971780100000001</v>
      </c>
      <c r="AC74" s="691">
        <v>0.36971780100000001</v>
      </c>
      <c r="AD74" s="691">
        <v>0.36971780100000001</v>
      </c>
      <c r="AE74" s="691">
        <v>0</v>
      </c>
      <c r="AF74" s="691">
        <v>0</v>
      </c>
      <c r="AG74" s="691">
        <v>0</v>
      </c>
      <c r="AH74" s="691">
        <v>0</v>
      </c>
      <c r="AI74" s="691">
        <v>0</v>
      </c>
      <c r="AJ74" s="691">
        <v>0</v>
      </c>
      <c r="AK74" s="691">
        <v>0</v>
      </c>
      <c r="AL74" s="691">
        <v>0</v>
      </c>
      <c r="AM74" s="691">
        <v>0</v>
      </c>
      <c r="AN74" s="691">
        <v>0</v>
      </c>
      <c r="AO74" s="692">
        <v>0</v>
      </c>
      <c r="AP74" s="628"/>
      <c r="AQ74" s="690">
        <v>759.52755114499996</v>
      </c>
      <c r="AR74" s="691">
        <v>759.52755114499996</v>
      </c>
      <c r="AS74" s="691">
        <v>759.52755114499996</v>
      </c>
      <c r="AT74" s="691">
        <v>759.52755114499996</v>
      </c>
      <c r="AU74" s="691">
        <v>759.52755114499996</v>
      </c>
      <c r="AV74" s="691">
        <v>759.52755114499996</v>
      </c>
      <c r="AW74" s="691">
        <v>759.52755114499996</v>
      </c>
      <c r="AX74" s="691">
        <v>759.52755114499996</v>
      </c>
      <c r="AY74" s="691">
        <v>759.52755114499996</v>
      </c>
      <c r="AZ74" s="691">
        <v>759.52755114499996</v>
      </c>
      <c r="BA74" s="691">
        <v>759.52755114499996</v>
      </c>
      <c r="BB74" s="691">
        <v>759.52755114499996</v>
      </c>
      <c r="BC74" s="691">
        <v>759.52755114499996</v>
      </c>
      <c r="BD74" s="691">
        <v>759.52755114499996</v>
      </c>
      <c r="BE74" s="691">
        <v>759.52755114499996</v>
      </c>
      <c r="BF74" s="691">
        <v>759.52755114499996</v>
      </c>
      <c r="BG74" s="691">
        <v>759.52755114499996</v>
      </c>
      <c r="BH74" s="691">
        <v>759.52755114499996</v>
      </c>
      <c r="BI74" s="691">
        <v>759.52755114499996</v>
      </c>
      <c r="BJ74" s="691">
        <v>0</v>
      </c>
      <c r="BK74" s="691">
        <v>0</v>
      </c>
      <c r="BL74" s="691">
        <v>0</v>
      </c>
      <c r="BM74" s="691">
        <v>0</v>
      </c>
      <c r="BN74" s="691">
        <v>0</v>
      </c>
      <c r="BO74" s="691">
        <v>0</v>
      </c>
      <c r="BP74" s="691">
        <v>0</v>
      </c>
      <c r="BQ74" s="691">
        <v>0</v>
      </c>
      <c r="BR74" s="691">
        <v>0</v>
      </c>
      <c r="BS74" s="691">
        <v>0</v>
      </c>
      <c r="BT74" s="692">
        <v>0</v>
      </c>
    </row>
    <row r="75" spans="2:73" hidden="1" outlineLevel="1">
      <c r="B75" s="752" t="s">
        <v>208</v>
      </c>
      <c r="C75" s="752" t="s">
        <v>731</v>
      </c>
      <c r="D75" s="752" t="s">
        <v>732</v>
      </c>
      <c r="E75" s="752" t="s">
        <v>733</v>
      </c>
      <c r="F75" s="752" t="s">
        <v>29</v>
      </c>
      <c r="G75" s="752" t="s">
        <v>734</v>
      </c>
      <c r="H75" s="752">
        <v>2011</v>
      </c>
      <c r="I75" s="639" t="s">
        <v>569</v>
      </c>
      <c r="J75" s="639" t="s">
        <v>578</v>
      </c>
      <c r="K75" s="628"/>
      <c r="L75" s="690">
        <v>0</v>
      </c>
      <c r="M75" s="691">
        <v>0</v>
      </c>
      <c r="N75" s="691">
        <v>99.006299999999996</v>
      </c>
      <c r="O75" s="691">
        <v>0</v>
      </c>
      <c r="P75" s="691">
        <v>0</v>
      </c>
      <c r="Q75" s="691">
        <v>0</v>
      </c>
      <c r="R75" s="691">
        <v>0</v>
      </c>
      <c r="S75" s="691">
        <v>0</v>
      </c>
      <c r="T75" s="691">
        <v>0</v>
      </c>
      <c r="U75" s="691">
        <v>0</v>
      </c>
      <c r="V75" s="691">
        <v>0</v>
      </c>
      <c r="W75" s="691">
        <v>0</v>
      </c>
      <c r="X75" s="691">
        <v>0</v>
      </c>
      <c r="Y75" s="691">
        <v>0</v>
      </c>
      <c r="Z75" s="691">
        <v>0</v>
      </c>
      <c r="AA75" s="691">
        <v>0</v>
      </c>
      <c r="AB75" s="691">
        <v>0</v>
      </c>
      <c r="AC75" s="691">
        <v>0</v>
      </c>
      <c r="AD75" s="691">
        <v>0</v>
      </c>
      <c r="AE75" s="691">
        <v>0</v>
      </c>
      <c r="AF75" s="691">
        <v>0</v>
      </c>
      <c r="AG75" s="691">
        <v>0</v>
      </c>
      <c r="AH75" s="691">
        <v>0</v>
      </c>
      <c r="AI75" s="691">
        <v>0</v>
      </c>
      <c r="AJ75" s="691">
        <v>0</v>
      </c>
      <c r="AK75" s="691">
        <v>0</v>
      </c>
      <c r="AL75" s="691">
        <v>0</v>
      </c>
      <c r="AM75" s="691">
        <v>0</v>
      </c>
      <c r="AN75" s="691">
        <v>0</v>
      </c>
      <c r="AO75" s="692">
        <v>0</v>
      </c>
      <c r="AP75" s="628"/>
      <c r="AQ75" s="690">
        <v>0</v>
      </c>
      <c r="AR75" s="691">
        <v>0</v>
      </c>
      <c r="AS75" s="691">
        <v>434.62849999999997</v>
      </c>
      <c r="AT75" s="691">
        <v>0</v>
      </c>
      <c r="AU75" s="691">
        <v>0</v>
      </c>
      <c r="AV75" s="691">
        <v>0</v>
      </c>
      <c r="AW75" s="691">
        <v>0</v>
      </c>
      <c r="AX75" s="691">
        <v>0</v>
      </c>
      <c r="AY75" s="691">
        <v>0</v>
      </c>
      <c r="AZ75" s="691">
        <v>0</v>
      </c>
      <c r="BA75" s="691">
        <v>0</v>
      </c>
      <c r="BB75" s="691">
        <v>0</v>
      </c>
      <c r="BC75" s="691">
        <v>0</v>
      </c>
      <c r="BD75" s="691">
        <v>0</v>
      </c>
      <c r="BE75" s="691">
        <v>0</v>
      </c>
      <c r="BF75" s="691">
        <v>0</v>
      </c>
      <c r="BG75" s="691">
        <v>0</v>
      </c>
      <c r="BH75" s="691">
        <v>0</v>
      </c>
      <c r="BI75" s="691">
        <v>0</v>
      </c>
      <c r="BJ75" s="691">
        <v>0</v>
      </c>
      <c r="BK75" s="691">
        <v>0</v>
      </c>
      <c r="BL75" s="691">
        <v>0</v>
      </c>
      <c r="BM75" s="691">
        <v>0</v>
      </c>
      <c r="BN75" s="691">
        <v>0</v>
      </c>
      <c r="BO75" s="691">
        <v>0</v>
      </c>
      <c r="BP75" s="691">
        <v>0</v>
      </c>
      <c r="BQ75" s="691">
        <v>0</v>
      </c>
      <c r="BR75" s="691">
        <v>0</v>
      </c>
      <c r="BS75" s="691">
        <v>0</v>
      </c>
      <c r="BT75" s="692">
        <v>0</v>
      </c>
    </row>
    <row r="76" spans="2:73" hidden="1" outlineLevel="1">
      <c r="B76" s="752" t="s">
        <v>208</v>
      </c>
      <c r="C76" s="752" t="s">
        <v>735</v>
      </c>
      <c r="D76" s="752" t="s">
        <v>20</v>
      </c>
      <c r="E76" s="752" t="s">
        <v>733</v>
      </c>
      <c r="F76" s="752" t="s">
        <v>738</v>
      </c>
      <c r="G76" s="752" t="s">
        <v>739</v>
      </c>
      <c r="H76" s="752">
        <v>2011</v>
      </c>
      <c r="I76" s="639" t="s">
        <v>570</v>
      </c>
      <c r="J76" s="639" t="s">
        <v>578</v>
      </c>
      <c r="K76" s="628"/>
      <c r="L76" s="690">
        <v>0.493550451</v>
      </c>
      <c r="M76" s="691">
        <v>0.493550451</v>
      </c>
      <c r="N76" s="691">
        <v>0.493550451</v>
      </c>
      <c r="O76" s="691">
        <v>0.493550451</v>
      </c>
      <c r="P76" s="691">
        <v>0</v>
      </c>
      <c r="Q76" s="691">
        <v>0</v>
      </c>
      <c r="R76" s="691">
        <v>0</v>
      </c>
      <c r="S76" s="691">
        <v>0</v>
      </c>
      <c r="T76" s="691">
        <v>0</v>
      </c>
      <c r="U76" s="691">
        <v>0</v>
      </c>
      <c r="V76" s="691">
        <v>0</v>
      </c>
      <c r="W76" s="691">
        <v>0</v>
      </c>
      <c r="X76" s="691">
        <v>0</v>
      </c>
      <c r="Y76" s="691">
        <v>0</v>
      </c>
      <c r="Z76" s="691">
        <v>0</v>
      </c>
      <c r="AA76" s="691">
        <v>0</v>
      </c>
      <c r="AB76" s="691">
        <v>0</v>
      </c>
      <c r="AC76" s="691">
        <v>0</v>
      </c>
      <c r="AD76" s="691">
        <v>0</v>
      </c>
      <c r="AE76" s="691">
        <v>0</v>
      </c>
      <c r="AF76" s="691">
        <v>0</v>
      </c>
      <c r="AG76" s="691">
        <v>0</v>
      </c>
      <c r="AH76" s="691">
        <v>0</v>
      </c>
      <c r="AI76" s="691">
        <v>0</v>
      </c>
      <c r="AJ76" s="691">
        <v>0</v>
      </c>
      <c r="AK76" s="691">
        <v>0</v>
      </c>
      <c r="AL76" s="691">
        <v>0</v>
      </c>
      <c r="AM76" s="691">
        <v>0</v>
      </c>
      <c r="AN76" s="691">
        <v>0</v>
      </c>
      <c r="AO76" s="692">
        <v>0</v>
      </c>
      <c r="AP76" s="628"/>
      <c r="AQ76" s="690">
        <v>2444.0812380000002</v>
      </c>
      <c r="AR76" s="691">
        <v>2444.0812380000002</v>
      </c>
      <c r="AS76" s="691">
        <v>2444.0812380000002</v>
      </c>
      <c r="AT76" s="691">
        <v>2444.0812380000002</v>
      </c>
      <c r="AU76" s="691">
        <v>0</v>
      </c>
      <c r="AV76" s="691">
        <v>0</v>
      </c>
      <c r="AW76" s="691">
        <v>0</v>
      </c>
      <c r="AX76" s="691">
        <v>0</v>
      </c>
      <c r="AY76" s="691">
        <v>0</v>
      </c>
      <c r="AZ76" s="691">
        <v>0</v>
      </c>
      <c r="BA76" s="691">
        <v>0</v>
      </c>
      <c r="BB76" s="691">
        <v>0</v>
      </c>
      <c r="BC76" s="691">
        <v>0</v>
      </c>
      <c r="BD76" s="691">
        <v>0</v>
      </c>
      <c r="BE76" s="691">
        <v>0</v>
      </c>
      <c r="BF76" s="691">
        <v>0</v>
      </c>
      <c r="BG76" s="691">
        <v>0</v>
      </c>
      <c r="BH76" s="691">
        <v>0</v>
      </c>
      <c r="BI76" s="691">
        <v>0</v>
      </c>
      <c r="BJ76" s="691">
        <v>0</v>
      </c>
      <c r="BK76" s="691">
        <v>0</v>
      </c>
      <c r="BL76" s="691">
        <v>0</v>
      </c>
      <c r="BM76" s="691">
        <v>0</v>
      </c>
      <c r="BN76" s="691">
        <v>0</v>
      </c>
      <c r="BO76" s="691">
        <v>0</v>
      </c>
      <c r="BP76" s="691">
        <v>0</v>
      </c>
      <c r="BQ76" s="691">
        <v>0</v>
      </c>
      <c r="BR76" s="691">
        <v>0</v>
      </c>
      <c r="BS76" s="691">
        <v>0</v>
      </c>
      <c r="BT76" s="692">
        <v>0</v>
      </c>
    </row>
    <row r="77" spans="2:73" hidden="1" outlineLevel="1">
      <c r="B77" s="752" t="s">
        <v>208</v>
      </c>
      <c r="C77" s="752" t="s">
        <v>735</v>
      </c>
      <c r="D77" s="752" t="s">
        <v>737</v>
      </c>
      <c r="E77" s="752" t="s">
        <v>733</v>
      </c>
      <c r="F77" s="752" t="s">
        <v>738</v>
      </c>
      <c r="G77" s="752" t="s">
        <v>734</v>
      </c>
      <c r="H77" s="752">
        <v>2011</v>
      </c>
      <c r="I77" s="639" t="s">
        <v>570</v>
      </c>
      <c r="J77" s="639" t="s">
        <v>578</v>
      </c>
      <c r="K77" s="628"/>
      <c r="L77" s="690">
        <v>0</v>
      </c>
      <c r="M77" s="691">
        <v>0</v>
      </c>
      <c r="N77" s="691">
        <v>0</v>
      </c>
      <c r="O77" s="691">
        <v>6.1752159999999998</v>
      </c>
      <c r="P77" s="691">
        <v>0</v>
      </c>
      <c r="Q77" s="691">
        <v>0</v>
      </c>
      <c r="R77" s="691">
        <v>0</v>
      </c>
      <c r="S77" s="691">
        <v>0</v>
      </c>
      <c r="T77" s="691">
        <v>0</v>
      </c>
      <c r="U77" s="691">
        <v>0</v>
      </c>
      <c r="V77" s="691">
        <v>0</v>
      </c>
      <c r="W77" s="691">
        <v>0</v>
      </c>
      <c r="X77" s="691">
        <v>0</v>
      </c>
      <c r="Y77" s="691">
        <v>0</v>
      </c>
      <c r="Z77" s="691">
        <v>0</v>
      </c>
      <c r="AA77" s="691">
        <v>0</v>
      </c>
      <c r="AB77" s="691">
        <v>0</v>
      </c>
      <c r="AC77" s="691">
        <v>0</v>
      </c>
      <c r="AD77" s="691">
        <v>0</v>
      </c>
      <c r="AE77" s="691">
        <v>0</v>
      </c>
      <c r="AF77" s="691">
        <v>0</v>
      </c>
      <c r="AG77" s="691">
        <v>0</v>
      </c>
      <c r="AH77" s="691">
        <v>0</v>
      </c>
      <c r="AI77" s="691">
        <v>0</v>
      </c>
      <c r="AJ77" s="691">
        <v>0</v>
      </c>
      <c r="AK77" s="691">
        <v>0</v>
      </c>
      <c r="AL77" s="691">
        <v>0</v>
      </c>
      <c r="AM77" s="691">
        <v>0</v>
      </c>
      <c r="AN77" s="691">
        <v>0</v>
      </c>
      <c r="AO77" s="692">
        <v>0</v>
      </c>
      <c r="AP77" s="628"/>
      <c r="AQ77" s="690">
        <v>0</v>
      </c>
      <c r="AR77" s="691">
        <v>0</v>
      </c>
      <c r="AS77" s="691">
        <v>0</v>
      </c>
      <c r="AT77" s="691">
        <v>0</v>
      </c>
      <c r="AU77" s="691">
        <v>0</v>
      </c>
      <c r="AV77" s="691">
        <v>0</v>
      </c>
      <c r="AW77" s="691">
        <v>0</v>
      </c>
      <c r="AX77" s="691">
        <v>0</v>
      </c>
      <c r="AY77" s="691">
        <v>0</v>
      </c>
      <c r="AZ77" s="691">
        <v>0</v>
      </c>
      <c r="BA77" s="691">
        <v>0</v>
      </c>
      <c r="BB77" s="691">
        <v>0</v>
      </c>
      <c r="BC77" s="691">
        <v>0</v>
      </c>
      <c r="BD77" s="691">
        <v>0</v>
      </c>
      <c r="BE77" s="691">
        <v>0</v>
      </c>
      <c r="BF77" s="691">
        <v>0</v>
      </c>
      <c r="BG77" s="691">
        <v>0</v>
      </c>
      <c r="BH77" s="691">
        <v>0</v>
      </c>
      <c r="BI77" s="691">
        <v>0</v>
      </c>
      <c r="BJ77" s="691">
        <v>0</v>
      </c>
      <c r="BK77" s="691">
        <v>0</v>
      </c>
      <c r="BL77" s="691">
        <v>0</v>
      </c>
      <c r="BM77" s="691">
        <v>0</v>
      </c>
      <c r="BN77" s="691">
        <v>0</v>
      </c>
      <c r="BO77" s="691">
        <v>0</v>
      </c>
      <c r="BP77" s="691">
        <v>0</v>
      </c>
      <c r="BQ77" s="691">
        <v>0</v>
      </c>
      <c r="BR77" s="691">
        <v>0</v>
      </c>
      <c r="BS77" s="691">
        <v>0</v>
      </c>
      <c r="BT77" s="692">
        <v>0</v>
      </c>
    </row>
    <row r="78" spans="2:73" hidden="1" outlineLevel="1">
      <c r="B78" s="752" t="s">
        <v>208</v>
      </c>
      <c r="C78" s="752" t="s">
        <v>731</v>
      </c>
      <c r="D78" s="752" t="s">
        <v>42</v>
      </c>
      <c r="E78" s="752" t="s">
        <v>733</v>
      </c>
      <c r="F78" s="752" t="s">
        <v>29</v>
      </c>
      <c r="G78" s="752" t="s">
        <v>734</v>
      </c>
      <c r="H78" s="752">
        <v>2011</v>
      </c>
      <c r="I78" s="639" t="s">
        <v>570</v>
      </c>
      <c r="J78" s="639" t="s">
        <v>578</v>
      </c>
      <c r="K78" s="628"/>
      <c r="L78" s="690">
        <v>0</v>
      </c>
      <c r="M78" s="691">
        <v>0</v>
      </c>
      <c r="N78" s="691">
        <v>0</v>
      </c>
      <c r="O78" s="691">
        <v>92.896090000000001</v>
      </c>
      <c r="P78" s="691">
        <v>0</v>
      </c>
      <c r="Q78" s="691">
        <v>0</v>
      </c>
      <c r="R78" s="691">
        <v>0</v>
      </c>
      <c r="S78" s="691">
        <v>0</v>
      </c>
      <c r="T78" s="691">
        <v>0</v>
      </c>
      <c r="U78" s="691">
        <v>0</v>
      </c>
      <c r="V78" s="691">
        <v>0</v>
      </c>
      <c r="W78" s="691">
        <v>0</v>
      </c>
      <c r="X78" s="691">
        <v>0</v>
      </c>
      <c r="Y78" s="691">
        <v>0</v>
      </c>
      <c r="Z78" s="691">
        <v>0</v>
      </c>
      <c r="AA78" s="691">
        <v>0</v>
      </c>
      <c r="AB78" s="691">
        <v>0</v>
      </c>
      <c r="AC78" s="691">
        <v>0</v>
      </c>
      <c r="AD78" s="691">
        <v>0</v>
      </c>
      <c r="AE78" s="691">
        <v>0</v>
      </c>
      <c r="AF78" s="691">
        <v>0</v>
      </c>
      <c r="AG78" s="691">
        <v>0</v>
      </c>
      <c r="AH78" s="691">
        <v>0</v>
      </c>
      <c r="AI78" s="691">
        <v>0</v>
      </c>
      <c r="AJ78" s="691">
        <v>0</v>
      </c>
      <c r="AK78" s="691">
        <v>0</v>
      </c>
      <c r="AL78" s="691">
        <v>0</v>
      </c>
      <c r="AM78" s="691">
        <v>0</v>
      </c>
      <c r="AN78" s="691">
        <v>0</v>
      </c>
      <c r="AO78" s="692">
        <v>0</v>
      </c>
      <c r="AP78" s="628"/>
      <c r="AQ78" s="690">
        <v>0</v>
      </c>
      <c r="AR78" s="691">
        <v>0</v>
      </c>
      <c r="AS78" s="691">
        <v>0</v>
      </c>
      <c r="AT78" s="691">
        <v>0</v>
      </c>
      <c r="AU78" s="691">
        <v>0</v>
      </c>
      <c r="AV78" s="691">
        <v>0</v>
      </c>
      <c r="AW78" s="691">
        <v>0</v>
      </c>
      <c r="AX78" s="691">
        <v>0</v>
      </c>
      <c r="AY78" s="691">
        <v>0</v>
      </c>
      <c r="AZ78" s="691">
        <v>0</v>
      </c>
      <c r="BA78" s="691">
        <v>0</v>
      </c>
      <c r="BB78" s="691">
        <v>0</v>
      </c>
      <c r="BC78" s="691">
        <v>0</v>
      </c>
      <c r="BD78" s="691">
        <v>0</v>
      </c>
      <c r="BE78" s="691">
        <v>0</v>
      </c>
      <c r="BF78" s="691">
        <v>0</v>
      </c>
      <c r="BG78" s="691">
        <v>0</v>
      </c>
      <c r="BH78" s="691">
        <v>0</v>
      </c>
      <c r="BI78" s="691">
        <v>0</v>
      </c>
      <c r="BJ78" s="691">
        <v>0</v>
      </c>
      <c r="BK78" s="691">
        <v>0</v>
      </c>
      <c r="BL78" s="691">
        <v>0</v>
      </c>
      <c r="BM78" s="691">
        <v>0</v>
      </c>
      <c r="BN78" s="691">
        <v>0</v>
      </c>
      <c r="BO78" s="691">
        <v>0</v>
      </c>
      <c r="BP78" s="691">
        <v>0</v>
      </c>
      <c r="BQ78" s="691">
        <v>0</v>
      </c>
      <c r="BR78" s="691">
        <v>0</v>
      </c>
      <c r="BS78" s="691">
        <v>0</v>
      </c>
      <c r="BT78" s="692">
        <v>0</v>
      </c>
    </row>
    <row r="79" spans="2:73" ht="15.75" hidden="1" outlineLevel="1">
      <c r="B79" s="752" t="s">
        <v>208</v>
      </c>
      <c r="C79" s="752" t="s">
        <v>735</v>
      </c>
      <c r="D79" s="752" t="s">
        <v>21</v>
      </c>
      <c r="E79" s="752" t="s">
        <v>733</v>
      </c>
      <c r="F79" s="752" t="s">
        <v>746</v>
      </c>
      <c r="G79" s="752" t="s">
        <v>739</v>
      </c>
      <c r="H79" s="752">
        <v>2012</v>
      </c>
      <c r="I79" s="639" t="s">
        <v>568</v>
      </c>
      <c r="J79" s="639" t="s">
        <v>585</v>
      </c>
      <c r="K79" s="628"/>
      <c r="L79" s="690">
        <v>0</v>
      </c>
      <c r="M79" s="691">
        <v>169.90588443678593</v>
      </c>
      <c r="N79" s="691">
        <v>169.90588443678593</v>
      </c>
      <c r="O79" s="691">
        <v>168.23579086144412</v>
      </c>
      <c r="P79" s="691">
        <v>145.88841920209796</v>
      </c>
      <c r="Q79" s="691">
        <v>145.88841920209796</v>
      </c>
      <c r="R79" s="691">
        <v>65.95487053880548</v>
      </c>
      <c r="S79" s="691">
        <v>65.95487053880548</v>
      </c>
      <c r="T79" s="691">
        <v>64.908706009594212</v>
      </c>
      <c r="U79" s="691">
        <v>64.908706009594212</v>
      </c>
      <c r="V79" s="691">
        <v>64.908706009594212</v>
      </c>
      <c r="W79" s="691">
        <v>63.158906808667425</v>
      </c>
      <c r="X79" s="691">
        <v>63.158906808667425</v>
      </c>
      <c r="Y79" s="691">
        <v>0</v>
      </c>
      <c r="Z79" s="691">
        <v>0</v>
      </c>
      <c r="AA79" s="691">
        <v>0</v>
      </c>
      <c r="AB79" s="691">
        <v>0</v>
      </c>
      <c r="AC79" s="691">
        <v>0</v>
      </c>
      <c r="AD79" s="691">
        <v>0</v>
      </c>
      <c r="AE79" s="691">
        <v>0</v>
      </c>
      <c r="AF79" s="691">
        <v>0</v>
      </c>
      <c r="AG79" s="691">
        <v>0</v>
      </c>
      <c r="AH79" s="691">
        <v>0</v>
      </c>
      <c r="AI79" s="691">
        <v>0</v>
      </c>
      <c r="AJ79" s="691">
        <v>0</v>
      </c>
      <c r="AK79" s="691">
        <v>0</v>
      </c>
      <c r="AL79" s="691">
        <v>0</v>
      </c>
      <c r="AM79" s="691">
        <v>0</v>
      </c>
      <c r="AN79" s="691">
        <v>0</v>
      </c>
      <c r="AO79" s="692">
        <v>0</v>
      </c>
      <c r="AP79" s="628"/>
      <c r="AQ79" s="690">
        <v>0</v>
      </c>
      <c r="AR79" s="691">
        <v>624604.94967936329</v>
      </c>
      <c r="AS79" s="691">
        <v>624604.9496793648</v>
      </c>
      <c r="AT79" s="691">
        <v>618604.62193890836</v>
      </c>
      <c r="AU79" s="691">
        <v>525579.28224435379</v>
      </c>
      <c r="AV79" s="691">
        <v>525579.28224435379</v>
      </c>
      <c r="AW79" s="691">
        <v>241678.70946222771</v>
      </c>
      <c r="AX79" s="691">
        <v>241678.70946222771</v>
      </c>
      <c r="AY79" s="691">
        <v>240633.98839516562</v>
      </c>
      <c r="AZ79" s="691">
        <v>240633.98839516562</v>
      </c>
      <c r="BA79" s="691">
        <v>240633.98839516562</v>
      </c>
      <c r="BB79" s="691">
        <v>223512.58427377287</v>
      </c>
      <c r="BC79" s="691">
        <v>223512.58427377287</v>
      </c>
      <c r="BD79" s="691">
        <v>0</v>
      </c>
      <c r="BE79" s="691">
        <v>0</v>
      </c>
      <c r="BF79" s="691">
        <v>0</v>
      </c>
      <c r="BG79" s="691">
        <v>0</v>
      </c>
      <c r="BH79" s="691">
        <v>0</v>
      </c>
      <c r="BI79" s="691">
        <v>0</v>
      </c>
      <c r="BJ79" s="691">
        <v>0</v>
      </c>
      <c r="BK79" s="691">
        <v>0</v>
      </c>
      <c r="BL79" s="691">
        <v>0</v>
      </c>
      <c r="BM79" s="691">
        <v>0</v>
      </c>
      <c r="BN79" s="691">
        <v>0</v>
      </c>
      <c r="BO79" s="691">
        <v>0</v>
      </c>
      <c r="BP79" s="691">
        <v>0</v>
      </c>
      <c r="BQ79" s="691">
        <v>0</v>
      </c>
      <c r="BR79" s="691">
        <v>0</v>
      </c>
      <c r="BS79" s="691">
        <v>0</v>
      </c>
      <c r="BT79" s="692">
        <v>0</v>
      </c>
      <c r="BU79" s="163"/>
    </row>
    <row r="80" spans="2:73" ht="15.75" hidden="1" outlineLevel="1">
      <c r="B80" s="752" t="s">
        <v>208</v>
      </c>
      <c r="C80" s="752" t="s">
        <v>735</v>
      </c>
      <c r="D80" s="752" t="s">
        <v>22</v>
      </c>
      <c r="E80" s="752" t="s">
        <v>733</v>
      </c>
      <c r="F80" s="752" t="s">
        <v>746</v>
      </c>
      <c r="G80" s="752" t="s">
        <v>739</v>
      </c>
      <c r="H80" s="752">
        <v>2012</v>
      </c>
      <c r="I80" s="639" t="s">
        <v>568</v>
      </c>
      <c r="J80" s="639" t="s">
        <v>585</v>
      </c>
      <c r="K80" s="628"/>
      <c r="L80" s="690">
        <v>0</v>
      </c>
      <c r="M80" s="691">
        <v>812.01873278296216</v>
      </c>
      <c r="N80" s="691">
        <v>796.90707084674193</v>
      </c>
      <c r="O80" s="691">
        <v>775.74614546975033</v>
      </c>
      <c r="P80" s="691">
        <v>716.08853425896268</v>
      </c>
      <c r="Q80" s="691">
        <v>712.49985635278131</v>
      </c>
      <c r="R80" s="691">
        <v>638.72812582759434</v>
      </c>
      <c r="S80" s="691">
        <v>625.23596457304234</v>
      </c>
      <c r="T80" s="691">
        <v>625.23596457304234</v>
      </c>
      <c r="U80" s="691">
        <v>600.73358824837703</v>
      </c>
      <c r="V80" s="691">
        <v>418.79344326388656</v>
      </c>
      <c r="W80" s="691">
        <v>413.80094502626264</v>
      </c>
      <c r="X80" s="691">
        <v>413.80094502626264</v>
      </c>
      <c r="Y80" s="691">
        <v>234.81679903367711</v>
      </c>
      <c r="Z80" s="691">
        <v>153.8198844494643</v>
      </c>
      <c r="AA80" s="691">
        <v>153.8198844494643</v>
      </c>
      <c r="AB80" s="691">
        <v>59.308105135947585</v>
      </c>
      <c r="AC80" s="691">
        <v>27.03987038958676</v>
      </c>
      <c r="AD80" s="691">
        <v>27.03987038958676</v>
      </c>
      <c r="AE80" s="691">
        <v>27.03987038958676</v>
      </c>
      <c r="AF80" s="691">
        <v>27.03987038958676</v>
      </c>
      <c r="AG80" s="691">
        <v>0</v>
      </c>
      <c r="AH80" s="691">
        <v>0</v>
      </c>
      <c r="AI80" s="691">
        <v>0</v>
      </c>
      <c r="AJ80" s="691">
        <v>0</v>
      </c>
      <c r="AK80" s="691">
        <v>0</v>
      </c>
      <c r="AL80" s="691">
        <v>0</v>
      </c>
      <c r="AM80" s="691">
        <v>0</v>
      </c>
      <c r="AN80" s="691">
        <v>0</v>
      </c>
      <c r="AO80" s="692">
        <v>0</v>
      </c>
      <c r="AP80" s="628"/>
      <c r="AQ80" s="690">
        <v>0</v>
      </c>
      <c r="AR80" s="691">
        <v>3955522.4539747941</v>
      </c>
      <c r="AS80" s="691">
        <v>3906020.377467047</v>
      </c>
      <c r="AT80" s="691">
        <v>3836713.6198006715</v>
      </c>
      <c r="AU80" s="691">
        <v>3642047.709898693</v>
      </c>
      <c r="AV80" s="691">
        <v>3625019.5717908186</v>
      </c>
      <c r="AW80" s="691">
        <v>3383172.1502834246</v>
      </c>
      <c r="AX80" s="691">
        <v>3285011.9860413577</v>
      </c>
      <c r="AY80" s="691">
        <v>3285011.9860413577</v>
      </c>
      <c r="AZ80" s="691">
        <v>3186257.6752704401</v>
      </c>
      <c r="BA80" s="691">
        <v>2174226.8036432718</v>
      </c>
      <c r="BB80" s="691">
        <v>2045413.0472616586</v>
      </c>
      <c r="BC80" s="691">
        <v>1951595.9454102148</v>
      </c>
      <c r="BD80" s="691">
        <v>940956.29416573746</v>
      </c>
      <c r="BE80" s="691">
        <v>675816.14692586544</v>
      </c>
      <c r="BF80" s="691">
        <v>675816.14692586544</v>
      </c>
      <c r="BG80" s="691">
        <v>219626.80425054589</v>
      </c>
      <c r="BH80" s="691">
        <v>88281.328489375854</v>
      </c>
      <c r="BI80" s="691">
        <v>88281.328489375854</v>
      </c>
      <c r="BJ80" s="691">
        <v>88281.328489375854</v>
      </c>
      <c r="BK80" s="691">
        <v>88281.328489375854</v>
      </c>
      <c r="BL80" s="691">
        <v>0</v>
      </c>
      <c r="BM80" s="691">
        <v>0</v>
      </c>
      <c r="BN80" s="691">
        <v>0</v>
      </c>
      <c r="BO80" s="691">
        <v>0</v>
      </c>
      <c r="BP80" s="691">
        <v>0</v>
      </c>
      <c r="BQ80" s="691">
        <v>0</v>
      </c>
      <c r="BR80" s="691">
        <v>0</v>
      </c>
      <c r="BS80" s="691">
        <v>0</v>
      </c>
      <c r="BT80" s="692">
        <v>0</v>
      </c>
      <c r="BU80" s="163"/>
    </row>
    <row r="81" spans="2:73" hidden="1" outlineLevel="1">
      <c r="B81" s="752" t="s">
        <v>208</v>
      </c>
      <c r="C81" s="752" t="s">
        <v>735</v>
      </c>
      <c r="D81" s="752" t="s">
        <v>20</v>
      </c>
      <c r="E81" s="752" t="s">
        <v>733</v>
      </c>
      <c r="F81" s="752" t="s">
        <v>746</v>
      </c>
      <c r="G81" s="752" t="s">
        <v>739</v>
      </c>
      <c r="H81" s="752">
        <v>2012</v>
      </c>
      <c r="I81" s="639" t="s">
        <v>568</v>
      </c>
      <c r="J81" s="639" t="s">
        <v>585</v>
      </c>
      <c r="K81" s="628"/>
      <c r="L81" s="690">
        <v>0</v>
      </c>
      <c r="M81" s="691">
        <v>20.70869851825913</v>
      </c>
      <c r="N81" s="691">
        <v>20.70869851825913</v>
      </c>
      <c r="O81" s="691">
        <v>20.70869851825913</v>
      </c>
      <c r="P81" s="691">
        <v>20.70869851825913</v>
      </c>
      <c r="Q81" s="691">
        <v>0</v>
      </c>
      <c r="R81" s="691">
        <v>0</v>
      </c>
      <c r="S81" s="691">
        <v>0</v>
      </c>
      <c r="T81" s="691">
        <v>0</v>
      </c>
      <c r="U81" s="691">
        <v>0</v>
      </c>
      <c r="V81" s="691">
        <v>0</v>
      </c>
      <c r="W81" s="691">
        <v>0</v>
      </c>
      <c r="X81" s="691">
        <v>0</v>
      </c>
      <c r="Y81" s="691">
        <v>0</v>
      </c>
      <c r="Z81" s="691">
        <v>0</v>
      </c>
      <c r="AA81" s="691">
        <v>0</v>
      </c>
      <c r="AB81" s="691">
        <v>0</v>
      </c>
      <c r="AC81" s="691">
        <v>0</v>
      </c>
      <c r="AD81" s="691">
        <v>0</v>
      </c>
      <c r="AE81" s="691">
        <v>0</v>
      </c>
      <c r="AF81" s="691">
        <v>0</v>
      </c>
      <c r="AG81" s="691">
        <v>0</v>
      </c>
      <c r="AH81" s="691">
        <v>0</v>
      </c>
      <c r="AI81" s="691">
        <v>0</v>
      </c>
      <c r="AJ81" s="691">
        <v>0</v>
      </c>
      <c r="AK81" s="691">
        <v>0</v>
      </c>
      <c r="AL81" s="691">
        <v>0</v>
      </c>
      <c r="AM81" s="691">
        <v>0</v>
      </c>
      <c r="AN81" s="691">
        <v>0</v>
      </c>
      <c r="AO81" s="692">
        <v>0</v>
      </c>
      <c r="AP81" s="628"/>
      <c r="AQ81" s="690">
        <v>0</v>
      </c>
      <c r="AR81" s="691">
        <v>100705.0178502523</v>
      </c>
      <c r="AS81" s="691">
        <v>100705.0178502523</v>
      </c>
      <c r="AT81" s="691">
        <v>100705.0178502523</v>
      </c>
      <c r="AU81" s="691">
        <v>100705.0178502523</v>
      </c>
      <c r="AV81" s="691">
        <v>0</v>
      </c>
      <c r="AW81" s="691">
        <v>0</v>
      </c>
      <c r="AX81" s="691">
        <v>0</v>
      </c>
      <c r="AY81" s="691">
        <v>0</v>
      </c>
      <c r="AZ81" s="691">
        <v>0</v>
      </c>
      <c r="BA81" s="691">
        <v>0</v>
      </c>
      <c r="BB81" s="691">
        <v>0</v>
      </c>
      <c r="BC81" s="691">
        <v>0</v>
      </c>
      <c r="BD81" s="691">
        <v>0</v>
      </c>
      <c r="BE81" s="691">
        <v>0</v>
      </c>
      <c r="BF81" s="691">
        <v>0</v>
      </c>
      <c r="BG81" s="691">
        <v>0</v>
      </c>
      <c r="BH81" s="691">
        <v>0</v>
      </c>
      <c r="BI81" s="691">
        <v>0</v>
      </c>
      <c r="BJ81" s="691">
        <v>0</v>
      </c>
      <c r="BK81" s="691">
        <v>0</v>
      </c>
      <c r="BL81" s="691">
        <v>0</v>
      </c>
      <c r="BM81" s="691">
        <v>0</v>
      </c>
      <c r="BN81" s="691">
        <v>0</v>
      </c>
      <c r="BO81" s="691">
        <v>0</v>
      </c>
      <c r="BP81" s="691">
        <v>0</v>
      </c>
      <c r="BQ81" s="691">
        <v>0</v>
      </c>
      <c r="BR81" s="691">
        <v>0</v>
      </c>
      <c r="BS81" s="691">
        <v>0</v>
      </c>
      <c r="BT81" s="692">
        <v>0</v>
      </c>
    </row>
    <row r="82" spans="2:73" ht="15.75" hidden="1" outlineLevel="1">
      <c r="B82" s="752" t="s">
        <v>208</v>
      </c>
      <c r="C82" s="752" t="s">
        <v>735</v>
      </c>
      <c r="D82" s="752" t="s">
        <v>17</v>
      </c>
      <c r="E82" s="752" t="s">
        <v>733</v>
      </c>
      <c r="F82" s="752" t="s">
        <v>746</v>
      </c>
      <c r="G82" s="752" t="s">
        <v>739</v>
      </c>
      <c r="H82" s="752">
        <v>2012</v>
      </c>
      <c r="I82" s="639" t="s">
        <v>568</v>
      </c>
      <c r="J82" s="639" t="s">
        <v>585</v>
      </c>
      <c r="K82" s="628"/>
      <c r="L82" s="690">
        <v>0</v>
      </c>
      <c r="M82" s="691">
        <v>29.89</v>
      </c>
      <c r="N82" s="691">
        <v>29.89</v>
      </c>
      <c r="O82" s="691">
        <v>29.89</v>
      </c>
      <c r="P82" s="691">
        <v>29.89</v>
      </c>
      <c r="Q82" s="691">
        <v>29.89</v>
      </c>
      <c r="R82" s="691">
        <v>29.89</v>
      </c>
      <c r="S82" s="691">
        <v>29.89</v>
      </c>
      <c r="T82" s="691">
        <v>29.89</v>
      </c>
      <c r="U82" s="691">
        <v>29.89</v>
      </c>
      <c r="V82" s="691">
        <v>29.89</v>
      </c>
      <c r="W82" s="691">
        <v>29.89</v>
      </c>
      <c r="X82" s="691">
        <v>29.89</v>
      </c>
      <c r="Y82" s="691">
        <v>29.89</v>
      </c>
      <c r="Z82" s="691">
        <v>29.89</v>
      </c>
      <c r="AA82" s="691">
        <v>29.89</v>
      </c>
      <c r="AB82" s="691">
        <v>0</v>
      </c>
      <c r="AC82" s="691">
        <v>0</v>
      </c>
      <c r="AD82" s="691">
        <v>0</v>
      </c>
      <c r="AE82" s="691">
        <v>0</v>
      </c>
      <c r="AF82" s="691">
        <v>0</v>
      </c>
      <c r="AG82" s="691">
        <v>0</v>
      </c>
      <c r="AH82" s="691">
        <v>0</v>
      </c>
      <c r="AI82" s="691">
        <v>0</v>
      </c>
      <c r="AJ82" s="691">
        <v>0</v>
      </c>
      <c r="AK82" s="691">
        <v>0</v>
      </c>
      <c r="AL82" s="691">
        <v>0</v>
      </c>
      <c r="AM82" s="691">
        <v>0</v>
      </c>
      <c r="AN82" s="691">
        <v>0</v>
      </c>
      <c r="AO82" s="692">
        <v>0</v>
      </c>
      <c r="AP82" s="628"/>
      <c r="AQ82" s="690">
        <v>0</v>
      </c>
      <c r="AR82" s="691">
        <v>51506.35</v>
      </c>
      <c r="AS82" s="691">
        <v>51506.35</v>
      </c>
      <c r="AT82" s="691">
        <v>51506.35</v>
      </c>
      <c r="AU82" s="691">
        <v>51506.35</v>
      </c>
      <c r="AV82" s="691">
        <v>51506.35</v>
      </c>
      <c r="AW82" s="691">
        <v>51506.35</v>
      </c>
      <c r="AX82" s="691">
        <v>51506.35</v>
      </c>
      <c r="AY82" s="691">
        <v>51506.35</v>
      </c>
      <c r="AZ82" s="691">
        <v>51506.35</v>
      </c>
      <c r="BA82" s="691">
        <v>51506.35</v>
      </c>
      <c r="BB82" s="691">
        <v>51506.35</v>
      </c>
      <c r="BC82" s="691">
        <v>51506.35</v>
      </c>
      <c r="BD82" s="691">
        <v>51506.35</v>
      </c>
      <c r="BE82" s="691">
        <v>51506.35</v>
      </c>
      <c r="BF82" s="691">
        <v>51506.35</v>
      </c>
      <c r="BG82" s="691">
        <v>0</v>
      </c>
      <c r="BH82" s="691">
        <v>0</v>
      </c>
      <c r="BI82" s="691">
        <v>0</v>
      </c>
      <c r="BJ82" s="691">
        <v>0</v>
      </c>
      <c r="BK82" s="691">
        <v>0</v>
      </c>
      <c r="BL82" s="691">
        <v>0</v>
      </c>
      <c r="BM82" s="691">
        <v>0</v>
      </c>
      <c r="BN82" s="691">
        <v>0</v>
      </c>
      <c r="BO82" s="691">
        <v>0</v>
      </c>
      <c r="BP82" s="691">
        <v>0</v>
      </c>
      <c r="BQ82" s="691">
        <v>0</v>
      </c>
      <c r="BR82" s="691">
        <v>0</v>
      </c>
      <c r="BS82" s="691">
        <v>0</v>
      </c>
      <c r="BT82" s="692">
        <v>0</v>
      </c>
      <c r="BU82" s="163"/>
    </row>
    <row r="83" spans="2:73" ht="15.75" hidden="1" outlineLevel="1">
      <c r="B83" s="752" t="s">
        <v>208</v>
      </c>
      <c r="C83" s="752" t="s">
        <v>731</v>
      </c>
      <c r="D83" s="752" t="s">
        <v>2</v>
      </c>
      <c r="E83" s="752" t="s">
        <v>733</v>
      </c>
      <c r="F83" s="752" t="s">
        <v>29</v>
      </c>
      <c r="G83" s="752" t="s">
        <v>739</v>
      </c>
      <c r="H83" s="752">
        <v>2012</v>
      </c>
      <c r="I83" s="639" t="s">
        <v>568</v>
      </c>
      <c r="J83" s="639" t="s">
        <v>585</v>
      </c>
      <c r="K83" s="628"/>
      <c r="L83" s="690">
        <v>0</v>
      </c>
      <c r="M83" s="691">
        <v>7.9707003311146467</v>
      </c>
      <c r="N83" s="691">
        <v>7.9707003311146467</v>
      </c>
      <c r="O83" s="691">
        <v>7.9707003311146467</v>
      </c>
      <c r="P83" s="691">
        <v>7.850990765536876</v>
      </c>
      <c r="Q83" s="691">
        <v>0</v>
      </c>
      <c r="R83" s="691">
        <v>0</v>
      </c>
      <c r="S83" s="691">
        <v>0</v>
      </c>
      <c r="T83" s="691">
        <v>0</v>
      </c>
      <c r="U83" s="691">
        <v>0</v>
      </c>
      <c r="V83" s="691">
        <v>0</v>
      </c>
      <c r="W83" s="691">
        <v>0</v>
      </c>
      <c r="X83" s="691">
        <v>0</v>
      </c>
      <c r="Y83" s="691">
        <v>0</v>
      </c>
      <c r="Z83" s="691">
        <v>0</v>
      </c>
      <c r="AA83" s="691">
        <v>0</v>
      </c>
      <c r="AB83" s="691">
        <v>0</v>
      </c>
      <c r="AC83" s="691">
        <v>0</v>
      </c>
      <c r="AD83" s="691">
        <v>0</v>
      </c>
      <c r="AE83" s="691">
        <v>0</v>
      </c>
      <c r="AF83" s="691">
        <v>0</v>
      </c>
      <c r="AG83" s="691">
        <v>0</v>
      </c>
      <c r="AH83" s="691">
        <v>0</v>
      </c>
      <c r="AI83" s="691">
        <v>0</v>
      </c>
      <c r="AJ83" s="691">
        <v>0</v>
      </c>
      <c r="AK83" s="691">
        <v>0</v>
      </c>
      <c r="AL83" s="691">
        <v>0</v>
      </c>
      <c r="AM83" s="691">
        <v>0</v>
      </c>
      <c r="AN83" s="691">
        <v>0</v>
      </c>
      <c r="AO83" s="692">
        <v>0</v>
      </c>
      <c r="AP83" s="628"/>
      <c r="AQ83" s="690">
        <v>0</v>
      </c>
      <c r="AR83" s="691">
        <v>14105.852336350083</v>
      </c>
      <c r="AS83" s="691">
        <v>14105.852336350083</v>
      </c>
      <c r="AT83" s="691">
        <v>14105.852336350083</v>
      </c>
      <c r="AU83" s="691">
        <v>13998.801528177553</v>
      </c>
      <c r="AV83" s="691">
        <v>0</v>
      </c>
      <c r="AW83" s="691">
        <v>0</v>
      </c>
      <c r="AX83" s="691">
        <v>0</v>
      </c>
      <c r="AY83" s="691">
        <v>0</v>
      </c>
      <c r="AZ83" s="691">
        <v>0</v>
      </c>
      <c r="BA83" s="691">
        <v>0</v>
      </c>
      <c r="BB83" s="691">
        <v>0</v>
      </c>
      <c r="BC83" s="691">
        <v>0</v>
      </c>
      <c r="BD83" s="691">
        <v>0</v>
      </c>
      <c r="BE83" s="691">
        <v>0</v>
      </c>
      <c r="BF83" s="691">
        <v>0</v>
      </c>
      <c r="BG83" s="691">
        <v>0</v>
      </c>
      <c r="BH83" s="691">
        <v>0</v>
      </c>
      <c r="BI83" s="691">
        <v>0</v>
      </c>
      <c r="BJ83" s="691">
        <v>0</v>
      </c>
      <c r="BK83" s="691">
        <v>0</v>
      </c>
      <c r="BL83" s="691">
        <v>0</v>
      </c>
      <c r="BM83" s="691">
        <v>0</v>
      </c>
      <c r="BN83" s="691">
        <v>0</v>
      </c>
      <c r="BO83" s="691">
        <v>0</v>
      </c>
      <c r="BP83" s="691">
        <v>0</v>
      </c>
      <c r="BQ83" s="691">
        <v>0</v>
      </c>
      <c r="BR83" s="691">
        <v>0</v>
      </c>
      <c r="BS83" s="691">
        <v>0</v>
      </c>
      <c r="BT83" s="692">
        <v>0</v>
      </c>
      <c r="BU83" s="163"/>
    </row>
    <row r="84" spans="2:73" ht="15.75" hidden="1" outlineLevel="1">
      <c r="B84" s="752" t="s">
        <v>208</v>
      </c>
      <c r="C84" s="752" t="s">
        <v>731</v>
      </c>
      <c r="D84" s="752" t="s">
        <v>1</v>
      </c>
      <c r="E84" s="752" t="s">
        <v>733</v>
      </c>
      <c r="F84" s="752" t="s">
        <v>29</v>
      </c>
      <c r="G84" s="752" t="s">
        <v>739</v>
      </c>
      <c r="H84" s="752">
        <v>2012</v>
      </c>
      <c r="I84" s="639" t="s">
        <v>568</v>
      </c>
      <c r="J84" s="639" t="s">
        <v>585</v>
      </c>
      <c r="K84" s="628"/>
      <c r="L84" s="690">
        <v>0</v>
      </c>
      <c r="M84" s="691">
        <v>19.675903914190929</v>
      </c>
      <c r="N84" s="691">
        <v>19.675903914190929</v>
      </c>
      <c r="O84" s="691">
        <v>19.675903914190929</v>
      </c>
      <c r="P84" s="691">
        <v>19.33209217782856</v>
      </c>
      <c r="Q84" s="691">
        <v>10.058511882172752</v>
      </c>
      <c r="R84" s="691">
        <v>0</v>
      </c>
      <c r="S84" s="691">
        <v>0</v>
      </c>
      <c r="T84" s="691">
        <v>0</v>
      </c>
      <c r="U84" s="691">
        <v>0</v>
      </c>
      <c r="V84" s="691">
        <v>0</v>
      </c>
      <c r="W84" s="691">
        <v>0</v>
      </c>
      <c r="X84" s="691">
        <v>0</v>
      </c>
      <c r="Y84" s="691">
        <v>0</v>
      </c>
      <c r="Z84" s="691">
        <v>0</v>
      </c>
      <c r="AA84" s="691">
        <v>0</v>
      </c>
      <c r="AB84" s="691">
        <v>0</v>
      </c>
      <c r="AC84" s="691">
        <v>0</v>
      </c>
      <c r="AD84" s="691">
        <v>0</v>
      </c>
      <c r="AE84" s="691">
        <v>0</v>
      </c>
      <c r="AF84" s="691">
        <v>0</v>
      </c>
      <c r="AG84" s="691">
        <v>0</v>
      </c>
      <c r="AH84" s="691">
        <v>0</v>
      </c>
      <c r="AI84" s="691">
        <v>0</v>
      </c>
      <c r="AJ84" s="691">
        <v>0</v>
      </c>
      <c r="AK84" s="691">
        <v>0</v>
      </c>
      <c r="AL84" s="691">
        <v>0</v>
      </c>
      <c r="AM84" s="691">
        <v>0</v>
      </c>
      <c r="AN84" s="691">
        <v>0</v>
      </c>
      <c r="AO84" s="692">
        <v>0</v>
      </c>
      <c r="AP84" s="628"/>
      <c r="AQ84" s="690">
        <v>0</v>
      </c>
      <c r="AR84" s="691">
        <v>134959.7105646485</v>
      </c>
      <c r="AS84" s="691">
        <v>134959.7105646485</v>
      </c>
      <c r="AT84" s="691">
        <v>134959.7105646485</v>
      </c>
      <c r="AU84" s="691">
        <v>134652.25539964854</v>
      </c>
      <c r="AV84" s="691">
        <v>76502.380945524535</v>
      </c>
      <c r="AW84" s="691">
        <v>0</v>
      </c>
      <c r="AX84" s="691">
        <v>0</v>
      </c>
      <c r="AY84" s="691">
        <v>0</v>
      </c>
      <c r="AZ84" s="691">
        <v>0</v>
      </c>
      <c r="BA84" s="691">
        <v>0</v>
      </c>
      <c r="BB84" s="691">
        <v>0</v>
      </c>
      <c r="BC84" s="691">
        <v>0</v>
      </c>
      <c r="BD84" s="691">
        <v>0</v>
      </c>
      <c r="BE84" s="691">
        <v>0</v>
      </c>
      <c r="BF84" s="691">
        <v>0</v>
      </c>
      <c r="BG84" s="691">
        <v>0</v>
      </c>
      <c r="BH84" s="691">
        <v>0</v>
      </c>
      <c r="BI84" s="691">
        <v>0</v>
      </c>
      <c r="BJ84" s="691">
        <v>0</v>
      </c>
      <c r="BK84" s="691">
        <v>0</v>
      </c>
      <c r="BL84" s="691">
        <v>0</v>
      </c>
      <c r="BM84" s="691">
        <v>0</v>
      </c>
      <c r="BN84" s="691">
        <v>0</v>
      </c>
      <c r="BO84" s="691">
        <v>0</v>
      </c>
      <c r="BP84" s="691">
        <v>0</v>
      </c>
      <c r="BQ84" s="691">
        <v>0</v>
      </c>
      <c r="BR84" s="691">
        <v>0</v>
      </c>
      <c r="BS84" s="691">
        <v>0</v>
      </c>
      <c r="BT84" s="692">
        <v>0</v>
      </c>
      <c r="BU84" s="163"/>
    </row>
    <row r="85" spans="2:73" hidden="1" outlineLevel="1">
      <c r="B85" s="752" t="s">
        <v>208</v>
      </c>
      <c r="C85" s="752" t="s">
        <v>731</v>
      </c>
      <c r="D85" s="752" t="s">
        <v>5</v>
      </c>
      <c r="E85" s="752" t="s">
        <v>733</v>
      </c>
      <c r="F85" s="752" t="s">
        <v>29</v>
      </c>
      <c r="G85" s="752" t="s">
        <v>739</v>
      </c>
      <c r="H85" s="752">
        <v>2012</v>
      </c>
      <c r="I85" s="639" t="s">
        <v>568</v>
      </c>
      <c r="J85" s="639" t="s">
        <v>585</v>
      </c>
      <c r="K85" s="628"/>
      <c r="L85" s="690">
        <v>0</v>
      </c>
      <c r="M85" s="691">
        <v>24.13869259330934</v>
      </c>
      <c r="N85" s="691">
        <v>24.13869259330934</v>
      </c>
      <c r="O85" s="691">
        <v>24.13869259330934</v>
      </c>
      <c r="P85" s="691">
        <v>24.13869259330934</v>
      </c>
      <c r="Q85" s="691">
        <v>22.094611486435571</v>
      </c>
      <c r="R85" s="691">
        <v>18.697248043423034</v>
      </c>
      <c r="S85" s="691">
        <v>13.997375105465824</v>
      </c>
      <c r="T85" s="691">
        <v>13.9456948799972</v>
      </c>
      <c r="U85" s="691">
        <v>13.9456948799972</v>
      </c>
      <c r="V85" s="691">
        <v>8.9937324441060245</v>
      </c>
      <c r="W85" s="691">
        <v>3.5187007591566815</v>
      </c>
      <c r="X85" s="691">
        <v>3.5183918107996961</v>
      </c>
      <c r="Y85" s="691">
        <v>3.5183918107996961</v>
      </c>
      <c r="Z85" s="691">
        <v>3.4580136085055586</v>
      </c>
      <c r="AA85" s="691">
        <v>3.4580136085055586</v>
      </c>
      <c r="AB85" s="691">
        <v>3.3720970303429607</v>
      </c>
      <c r="AC85" s="691">
        <v>0.94614538327629583</v>
      </c>
      <c r="AD85" s="691">
        <v>0.94614538327629583</v>
      </c>
      <c r="AE85" s="691">
        <v>0.94614538327629583</v>
      </c>
      <c r="AF85" s="691">
        <v>0.94614538327629583</v>
      </c>
      <c r="AG85" s="691">
        <v>0</v>
      </c>
      <c r="AH85" s="691">
        <v>0</v>
      </c>
      <c r="AI85" s="691">
        <v>0</v>
      </c>
      <c r="AJ85" s="691">
        <v>0</v>
      </c>
      <c r="AK85" s="691">
        <v>0</v>
      </c>
      <c r="AL85" s="691">
        <v>0</v>
      </c>
      <c r="AM85" s="691">
        <v>0</v>
      </c>
      <c r="AN85" s="691">
        <v>0</v>
      </c>
      <c r="AO85" s="692">
        <v>0</v>
      </c>
      <c r="AP85" s="628"/>
      <c r="AQ85" s="690">
        <v>0</v>
      </c>
      <c r="AR85" s="691">
        <v>436812.07062581723</v>
      </c>
      <c r="AS85" s="691">
        <v>436812.07062581723</v>
      </c>
      <c r="AT85" s="691">
        <v>436812.07062581723</v>
      </c>
      <c r="AU85" s="691">
        <v>436812.07062581723</v>
      </c>
      <c r="AV85" s="691">
        <v>392666.26345095207</v>
      </c>
      <c r="AW85" s="691">
        <v>319293.75834153057</v>
      </c>
      <c r="AX85" s="691">
        <v>217791.09107078478</v>
      </c>
      <c r="AY85" s="691">
        <v>217338.37229567958</v>
      </c>
      <c r="AZ85" s="691">
        <v>217338.37229567958</v>
      </c>
      <c r="BA85" s="691">
        <v>110391.3543437505</v>
      </c>
      <c r="BB85" s="691">
        <v>81924.783801718455</v>
      </c>
      <c r="BC85" s="691">
        <v>79378.695914285694</v>
      </c>
      <c r="BD85" s="691">
        <v>79378.695914285694</v>
      </c>
      <c r="BE85" s="691">
        <v>73836.881191229928</v>
      </c>
      <c r="BF85" s="691">
        <v>73836.881191229928</v>
      </c>
      <c r="BG85" s="691">
        <v>72826.829021539932</v>
      </c>
      <c r="BH85" s="691">
        <v>20433.803487076464</v>
      </c>
      <c r="BI85" s="691">
        <v>20433.803487076464</v>
      </c>
      <c r="BJ85" s="691">
        <v>20433.803487076464</v>
      </c>
      <c r="BK85" s="691">
        <v>20433.803487076464</v>
      </c>
      <c r="BL85" s="691">
        <v>0</v>
      </c>
      <c r="BM85" s="691">
        <v>0</v>
      </c>
      <c r="BN85" s="691">
        <v>0</v>
      </c>
      <c r="BO85" s="691">
        <v>0</v>
      </c>
      <c r="BP85" s="691">
        <v>0</v>
      </c>
      <c r="BQ85" s="691">
        <v>0</v>
      </c>
      <c r="BR85" s="691">
        <v>0</v>
      </c>
      <c r="BS85" s="691">
        <v>0</v>
      </c>
      <c r="BT85" s="692">
        <v>0</v>
      </c>
    </row>
    <row r="86" spans="2:73" hidden="1" outlineLevel="1">
      <c r="B86" s="752" t="s">
        <v>208</v>
      </c>
      <c r="C86" s="752" t="s">
        <v>731</v>
      </c>
      <c r="D86" s="752" t="s">
        <v>4</v>
      </c>
      <c r="E86" s="752" t="s">
        <v>733</v>
      </c>
      <c r="F86" s="752" t="s">
        <v>29</v>
      </c>
      <c r="G86" s="752" t="s">
        <v>739</v>
      </c>
      <c r="H86" s="752">
        <v>2012</v>
      </c>
      <c r="I86" s="639" t="s">
        <v>568</v>
      </c>
      <c r="J86" s="639" t="s">
        <v>585</v>
      </c>
      <c r="K86" s="628"/>
      <c r="L86" s="690">
        <v>0</v>
      </c>
      <c r="M86" s="691">
        <v>3.7581033712972123</v>
      </c>
      <c r="N86" s="691">
        <v>3.7581033712972123</v>
      </c>
      <c r="O86" s="691">
        <v>3.7581033712972123</v>
      </c>
      <c r="P86" s="691">
        <v>3.7581033712972123</v>
      </c>
      <c r="Q86" s="691">
        <v>3.742239606626288</v>
      </c>
      <c r="R86" s="691">
        <v>3.742239606626288</v>
      </c>
      <c r="S86" s="691">
        <v>3.191936621705564</v>
      </c>
      <c r="T86" s="691">
        <v>3.185272592631978</v>
      </c>
      <c r="U86" s="691">
        <v>3.185272592631978</v>
      </c>
      <c r="V86" s="691">
        <v>3.185272592631978</v>
      </c>
      <c r="W86" s="691">
        <v>5.8592096833385392E-2</v>
      </c>
      <c r="X86" s="691">
        <v>5.8551745315034133E-2</v>
      </c>
      <c r="Y86" s="691">
        <v>5.8551745315034133E-2</v>
      </c>
      <c r="Z86" s="691">
        <v>5.6443349344327841E-2</v>
      </c>
      <c r="AA86" s="691">
        <v>5.6443349344327841E-2</v>
      </c>
      <c r="AB86" s="691">
        <v>5.2722552652246846E-2</v>
      </c>
      <c r="AC86" s="691">
        <v>0</v>
      </c>
      <c r="AD86" s="691">
        <v>0</v>
      </c>
      <c r="AE86" s="691">
        <v>0</v>
      </c>
      <c r="AF86" s="691">
        <v>0</v>
      </c>
      <c r="AG86" s="691">
        <v>0</v>
      </c>
      <c r="AH86" s="691">
        <v>0</v>
      </c>
      <c r="AI86" s="691">
        <v>0</v>
      </c>
      <c r="AJ86" s="691">
        <v>0</v>
      </c>
      <c r="AK86" s="691">
        <v>0</v>
      </c>
      <c r="AL86" s="691">
        <v>0</v>
      </c>
      <c r="AM86" s="691">
        <v>0</v>
      </c>
      <c r="AN86" s="691">
        <v>0</v>
      </c>
      <c r="AO86" s="692">
        <v>0</v>
      </c>
      <c r="AP86" s="628"/>
      <c r="AQ86" s="690">
        <v>0</v>
      </c>
      <c r="AR86" s="691">
        <v>22804.826940017141</v>
      </c>
      <c r="AS86" s="691">
        <v>22804.826940017141</v>
      </c>
      <c r="AT86" s="691">
        <v>22804.826940017141</v>
      </c>
      <c r="AU86" s="691">
        <v>22804.826940017141</v>
      </c>
      <c r="AV86" s="691">
        <v>22462.218863520055</v>
      </c>
      <c r="AW86" s="691">
        <v>22462.218863520055</v>
      </c>
      <c r="AX86" s="691">
        <v>10577.382504351395</v>
      </c>
      <c r="AY86" s="691">
        <v>10519.005609666781</v>
      </c>
      <c r="AZ86" s="691">
        <v>10519.005609666781</v>
      </c>
      <c r="BA86" s="691">
        <v>10519.005609666781</v>
      </c>
      <c r="BB86" s="691">
        <v>1708.4477515684994</v>
      </c>
      <c r="BC86" s="691">
        <v>1375.9050796601</v>
      </c>
      <c r="BD86" s="691">
        <v>1375.9050796601</v>
      </c>
      <c r="BE86" s="691">
        <v>1182.3859057110253</v>
      </c>
      <c r="BF86" s="691">
        <v>1182.3859057110253</v>
      </c>
      <c r="BG86" s="691">
        <v>1138.6434889134277</v>
      </c>
      <c r="BH86" s="691">
        <v>0</v>
      </c>
      <c r="BI86" s="691">
        <v>0</v>
      </c>
      <c r="BJ86" s="691">
        <v>0</v>
      </c>
      <c r="BK86" s="691">
        <v>0</v>
      </c>
      <c r="BL86" s="691">
        <v>0</v>
      </c>
      <c r="BM86" s="691">
        <v>0</v>
      </c>
      <c r="BN86" s="691">
        <v>0</v>
      </c>
      <c r="BO86" s="691">
        <v>0</v>
      </c>
      <c r="BP86" s="691">
        <v>0</v>
      </c>
      <c r="BQ86" s="691">
        <v>0</v>
      </c>
      <c r="BR86" s="691">
        <v>0</v>
      </c>
      <c r="BS86" s="691">
        <v>0</v>
      </c>
      <c r="BT86" s="692">
        <v>0</v>
      </c>
    </row>
    <row r="87" spans="2:73" hidden="1" outlineLevel="1">
      <c r="B87" s="752" t="s">
        <v>208</v>
      </c>
      <c r="C87" s="752" t="s">
        <v>731</v>
      </c>
      <c r="D87" s="752" t="s">
        <v>3</v>
      </c>
      <c r="E87" s="752" t="s">
        <v>733</v>
      </c>
      <c r="F87" s="752" t="s">
        <v>29</v>
      </c>
      <c r="G87" s="752" t="s">
        <v>739</v>
      </c>
      <c r="H87" s="752">
        <v>2012</v>
      </c>
      <c r="I87" s="639" t="s">
        <v>568</v>
      </c>
      <c r="J87" s="639" t="s">
        <v>585</v>
      </c>
      <c r="K87" s="628"/>
      <c r="L87" s="690">
        <v>0</v>
      </c>
      <c r="M87" s="691">
        <v>400.98091445087772</v>
      </c>
      <c r="N87" s="691">
        <v>400.98091445087772</v>
      </c>
      <c r="O87" s="691">
        <v>400.98091445087772</v>
      </c>
      <c r="P87" s="691">
        <v>400.98091445087772</v>
      </c>
      <c r="Q87" s="691">
        <v>400.98091445087772</v>
      </c>
      <c r="R87" s="691">
        <v>400.98091445087772</v>
      </c>
      <c r="S87" s="691">
        <v>400.98091445087772</v>
      </c>
      <c r="T87" s="691">
        <v>400.98091445087772</v>
      </c>
      <c r="U87" s="691">
        <v>400.98091445087772</v>
      </c>
      <c r="V87" s="691">
        <v>400.98091445087772</v>
      </c>
      <c r="W87" s="691">
        <v>400.98091445087772</v>
      </c>
      <c r="X87" s="691">
        <v>400.98091445087772</v>
      </c>
      <c r="Y87" s="691">
        <v>400.98091445087772</v>
      </c>
      <c r="Z87" s="691">
        <v>400.98091445087772</v>
      </c>
      <c r="AA87" s="691">
        <v>400.98091445087772</v>
      </c>
      <c r="AB87" s="691">
        <v>400.98091445087772</v>
      </c>
      <c r="AC87" s="691">
        <v>400.98091445087772</v>
      </c>
      <c r="AD87" s="691">
        <v>400.98091445087772</v>
      </c>
      <c r="AE87" s="691">
        <v>319.64035620526926</v>
      </c>
      <c r="AF87" s="691">
        <v>0</v>
      </c>
      <c r="AG87" s="691">
        <v>0</v>
      </c>
      <c r="AH87" s="691">
        <v>0</v>
      </c>
      <c r="AI87" s="691">
        <v>0</v>
      </c>
      <c r="AJ87" s="691">
        <v>0</v>
      </c>
      <c r="AK87" s="691">
        <v>0</v>
      </c>
      <c r="AL87" s="691">
        <v>0</v>
      </c>
      <c r="AM87" s="691">
        <v>0</v>
      </c>
      <c r="AN87" s="691">
        <v>0</v>
      </c>
      <c r="AO87" s="692">
        <v>0</v>
      </c>
      <c r="AP87" s="628"/>
      <c r="AQ87" s="690">
        <v>0</v>
      </c>
      <c r="AR87" s="691">
        <v>689785.89970068005</v>
      </c>
      <c r="AS87" s="691">
        <v>689785.89970068005</v>
      </c>
      <c r="AT87" s="691">
        <v>689785.89970068005</v>
      </c>
      <c r="AU87" s="691">
        <v>689785.89970068005</v>
      </c>
      <c r="AV87" s="691">
        <v>689785.89970068005</v>
      </c>
      <c r="AW87" s="691">
        <v>689785.89970068005</v>
      </c>
      <c r="AX87" s="691">
        <v>689785.89970068005</v>
      </c>
      <c r="AY87" s="691">
        <v>689785.89970068005</v>
      </c>
      <c r="AZ87" s="691">
        <v>689785.89970068005</v>
      </c>
      <c r="BA87" s="691">
        <v>689785.89970068005</v>
      </c>
      <c r="BB87" s="691">
        <v>689785.89970068005</v>
      </c>
      <c r="BC87" s="691">
        <v>689785.89970068005</v>
      </c>
      <c r="BD87" s="691">
        <v>689785.89970068005</v>
      </c>
      <c r="BE87" s="691">
        <v>689785.89970068005</v>
      </c>
      <c r="BF87" s="691">
        <v>689785.89970068005</v>
      </c>
      <c r="BG87" s="691">
        <v>689785.89970068005</v>
      </c>
      <c r="BH87" s="691">
        <v>689785.89970068005</v>
      </c>
      <c r="BI87" s="691">
        <v>689785.89970068005</v>
      </c>
      <c r="BJ87" s="691">
        <v>617046.74593823601</v>
      </c>
      <c r="BK87" s="691">
        <v>0</v>
      </c>
      <c r="BL87" s="691">
        <v>0</v>
      </c>
      <c r="BM87" s="691">
        <v>0</v>
      </c>
      <c r="BN87" s="691">
        <v>0</v>
      </c>
      <c r="BO87" s="691">
        <v>0</v>
      </c>
      <c r="BP87" s="691">
        <v>0</v>
      </c>
      <c r="BQ87" s="691">
        <v>0</v>
      </c>
      <c r="BR87" s="691">
        <v>0</v>
      </c>
      <c r="BS87" s="691">
        <v>0</v>
      </c>
      <c r="BT87" s="692">
        <v>0</v>
      </c>
    </row>
    <row r="88" spans="2:73" hidden="1" outlineLevel="1">
      <c r="B88" s="752" t="s">
        <v>208</v>
      </c>
      <c r="C88" s="752" t="s">
        <v>749</v>
      </c>
      <c r="D88" s="752" t="s">
        <v>14</v>
      </c>
      <c r="E88" s="752" t="s">
        <v>733</v>
      </c>
      <c r="F88" s="752" t="s">
        <v>29</v>
      </c>
      <c r="G88" s="752" t="s">
        <v>739</v>
      </c>
      <c r="H88" s="752">
        <v>2012</v>
      </c>
      <c r="I88" s="639" t="s">
        <v>568</v>
      </c>
      <c r="J88" s="639" t="s">
        <v>585</v>
      </c>
      <c r="K88" s="628"/>
      <c r="L88" s="690">
        <v>0</v>
      </c>
      <c r="M88" s="691">
        <v>13.649534726515402</v>
      </c>
      <c r="N88" s="691">
        <v>11.97873433842323</v>
      </c>
      <c r="O88" s="691">
        <v>11.97873433842323</v>
      </c>
      <c r="P88" s="691">
        <v>11.97873433842323</v>
      </c>
      <c r="Q88" s="691">
        <v>11.942008313490069</v>
      </c>
      <c r="R88" s="691">
        <v>11.942008313490069</v>
      </c>
      <c r="S88" s="691">
        <v>11.495613875566047</v>
      </c>
      <c r="T88" s="691">
        <v>11.495613875566047</v>
      </c>
      <c r="U88" s="691">
        <v>7.0244930419139493</v>
      </c>
      <c r="V88" s="691">
        <v>6.4334477218799222</v>
      </c>
      <c r="W88" s="691">
        <v>5.5554119357839209</v>
      </c>
      <c r="X88" s="691">
        <v>5.5554119357839209</v>
      </c>
      <c r="Y88" s="691">
        <v>3.0833016345277442</v>
      </c>
      <c r="Z88" s="691">
        <v>3.0833016345277442</v>
      </c>
      <c r="AA88" s="691">
        <v>0.66941335890442133</v>
      </c>
      <c r="AB88" s="691">
        <v>0.4293055459856987</v>
      </c>
      <c r="AC88" s="691">
        <v>0.4293055459856987</v>
      </c>
      <c r="AD88" s="691">
        <v>0.4293055459856987</v>
      </c>
      <c r="AE88" s="691">
        <v>0.4293055459856987</v>
      </c>
      <c r="AF88" s="691">
        <v>0.4293055459856987</v>
      </c>
      <c r="AG88" s="691">
        <v>0.4293055459856987</v>
      </c>
      <c r="AH88" s="691">
        <v>0</v>
      </c>
      <c r="AI88" s="691">
        <v>0</v>
      </c>
      <c r="AJ88" s="691">
        <v>0</v>
      </c>
      <c r="AK88" s="691">
        <v>0</v>
      </c>
      <c r="AL88" s="691">
        <v>0</v>
      </c>
      <c r="AM88" s="691">
        <v>0</v>
      </c>
      <c r="AN88" s="691">
        <v>0</v>
      </c>
      <c r="AO88" s="692">
        <v>0</v>
      </c>
      <c r="AP88" s="628"/>
      <c r="AQ88" s="693">
        <v>0</v>
      </c>
      <c r="AR88" s="694">
        <v>171520.23348999023</v>
      </c>
      <c r="AS88" s="694">
        <v>171520.2336730957</v>
      </c>
      <c r="AT88" s="694">
        <v>171520.2336730957</v>
      </c>
      <c r="AU88" s="694">
        <v>139356.23348999023</v>
      </c>
      <c r="AV88" s="694">
        <v>137494.23348999021</v>
      </c>
      <c r="AW88" s="694">
        <v>137494.23348999021</v>
      </c>
      <c r="AX88" s="694">
        <v>128900.84866333006</v>
      </c>
      <c r="AY88" s="694">
        <v>126162.0346221924</v>
      </c>
      <c r="AZ88" s="694">
        <v>40090.03462219239</v>
      </c>
      <c r="BA88" s="694">
        <v>39538.034622192383</v>
      </c>
      <c r="BB88" s="694">
        <v>32263.91455078125</v>
      </c>
      <c r="BC88" s="694">
        <v>32263.91455078125</v>
      </c>
      <c r="BD88" s="694">
        <v>24045</v>
      </c>
      <c r="BE88" s="694">
        <v>24045</v>
      </c>
      <c r="BF88" s="694">
        <v>5145</v>
      </c>
      <c r="BG88" s="694">
        <v>3165</v>
      </c>
      <c r="BH88" s="694">
        <v>3165</v>
      </c>
      <c r="BI88" s="694">
        <v>3165</v>
      </c>
      <c r="BJ88" s="694">
        <v>3165</v>
      </c>
      <c r="BK88" s="694">
        <v>3165</v>
      </c>
      <c r="BL88" s="694">
        <v>3165</v>
      </c>
      <c r="BM88" s="694">
        <v>0</v>
      </c>
      <c r="BN88" s="694">
        <v>0</v>
      </c>
      <c r="BO88" s="694">
        <v>0</v>
      </c>
      <c r="BP88" s="694">
        <v>0</v>
      </c>
      <c r="BQ88" s="694">
        <v>0</v>
      </c>
      <c r="BR88" s="694">
        <v>0</v>
      </c>
      <c r="BS88" s="694">
        <v>0</v>
      </c>
      <c r="BT88" s="695">
        <v>0</v>
      </c>
    </row>
    <row r="89" spans="2:73" hidden="1" outlineLevel="1">
      <c r="B89" s="752" t="s">
        <v>208</v>
      </c>
      <c r="C89" s="752" t="s">
        <v>744</v>
      </c>
      <c r="D89" s="752" t="s">
        <v>9</v>
      </c>
      <c r="E89" s="752" t="s">
        <v>733</v>
      </c>
      <c r="F89" s="752" t="s">
        <v>744</v>
      </c>
      <c r="G89" s="752" t="s">
        <v>734</v>
      </c>
      <c r="H89" s="752">
        <v>2012</v>
      </c>
      <c r="I89" s="639" t="s">
        <v>568</v>
      </c>
      <c r="J89" s="639" t="s">
        <v>585</v>
      </c>
      <c r="K89" s="628"/>
      <c r="L89" s="690">
        <v>0</v>
      </c>
      <c r="M89" s="691">
        <v>1274.595914</v>
      </c>
      <c r="N89" s="691">
        <v>0</v>
      </c>
      <c r="O89" s="691">
        <v>0</v>
      </c>
      <c r="P89" s="691">
        <v>0</v>
      </c>
      <c r="Q89" s="691">
        <v>0</v>
      </c>
      <c r="R89" s="691">
        <v>0</v>
      </c>
      <c r="S89" s="691">
        <v>0</v>
      </c>
      <c r="T89" s="691">
        <v>0</v>
      </c>
      <c r="U89" s="691">
        <v>0</v>
      </c>
      <c r="V89" s="691">
        <v>0</v>
      </c>
      <c r="W89" s="691">
        <v>0</v>
      </c>
      <c r="X89" s="691">
        <v>0</v>
      </c>
      <c r="Y89" s="691">
        <v>0</v>
      </c>
      <c r="Z89" s="691">
        <v>0</v>
      </c>
      <c r="AA89" s="691">
        <v>0</v>
      </c>
      <c r="AB89" s="691">
        <v>0</v>
      </c>
      <c r="AC89" s="691">
        <v>0</v>
      </c>
      <c r="AD89" s="691">
        <v>0</v>
      </c>
      <c r="AE89" s="691">
        <v>0</v>
      </c>
      <c r="AF89" s="691">
        <v>0</v>
      </c>
      <c r="AG89" s="691">
        <v>0</v>
      </c>
      <c r="AH89" s="691">
        <v>0</v>
      </c>
      <c r="AI89" s="691">
        <v>0</v>
      </c>
      <c r="AJ89" s="691">
        <v>0</v>
      </c>
      <c r="AK89" s="691">
        <v>0</v>
      </c>
      <c r="AL89" s="691">
        <v>0</v>
      </c>
      <c r="AM89" s="691">
        <v>0</v>
      </c>
      <c r="AN89" s="691">
        <v>0</v>
      </c>
      <c r="AO89" s="692">
        <v>0</v>
      </c>
      <c r="AP89" s="628"/>
      <c r="AQ89" s="687">
        <v>0</v>
      </c>
      <c r="AR89" s="688">
        <v>30717.21</v>
      </c>
      <c r="AS89" s="688">
        <v>0</v>
      </c>
      <c r="AT89" s="688">
        <v>0</v>
      </c>
      <c r="AU89" s="688">
        <v>0</v>
      </c>
      <c r="AV89" s="688">
        <v>0</v>
      </c>
      <c r="AW89" s="688">
        <v>0</v>
      </c>
      <c r="AX89" s="688">
        <v>0</v>
      </c>
      <c r="AY89" s="688">
        <v>0</v>
      </c>
      <c r="AZ89" s="688">
        <v>0</v>
      </c>
      <c r="BA89" s="688">
        <v>0</v>
      </c>
      <c r="BB89" s="688">
        <v>0</v>
      </c>
      <c r="BC89" s="688">
        <v>0</v>
      </c>
      <c r="BD89" s="688">
        <v>0</v>
      </c>
      <c r="BE89" s="688">
        <v>0</v>
      </c>
      <c r="BF89" s="688">
        <v>0</v>
      </c>
      <c r="BG89" s="688">
        <v>0</v>
      </c>
      <c r="BH89" s="688">
        <v>0</v>
      </c>
      <c r="BI89" s="688">
        <v>0</v>
      </c>
      <c r="BJ89" s="688">
        <v>0</v>
      </c>
      <c r="BK89" s="688">
        <v>0</v>
      </c>
      <c r="BL89" s="688">
        <v>0</v>
      </c>
      <c r="BM89" s="688">
        <v>0</v>
      </c>
      <c r="BN89" s="688">
        <v>0</v>
      </c>
      <c r="BO89" s="688">
        <v>0</v>
      </c>
      <c r="BP89" s="688">
        <v>0</v>
      </c>
      <c r="BQ89" s="688">
        <v>0</v>
      </c>
      <c r="BR89" s="688">
        <v>0</v>
      </c>
      <c r="BS89" s="688">
        <v>0</v>
      </c>
      <c r="BT89" s="689">
        <v>0</v>
      </c>
    </row>
    <row r="90" spans="2:73" hidden="1" outlineLevel="1">
      <c r="B90" s="752" t="s">
        <v>208</v>
      </c>
      <c r="C90" s="752" t="s">
        <v>745</v>
      </c>
      <c r="D90" s="752" t="s">
        <v>17</v>
      </c>
      <c r="E90" s="752" t="s">
        <v>733</v>
      </c>
      <c r="F90" s="752" t="s">
        <v>746</v>
      </c>
      <c r="G90" s="752" t="s">
        <v>739</v>
      </c>
      <c r="H90" s="752">
        <v>2012</v>
      </c>
      <c r="I90" s="639" t="s">
        <v>568</v>
      </c>
      <c r="J90" s="639" t="s">
        <v>585</v>
      </c>
      <c r="K90" s="628"/>
      <c r="L90" s="690">
        <v>0</v>
      </c>
      <c r="M90" s="691">
        <v>71.333042501561152</v>
      </c>
      <c r="N90" s="691">
        <v>71.333042501561152</v>
      </c>
      <c r="O90" s="691">
        <v>71.333042501561152</v>
      </c>
      <c r="P90" s="691">
        <v>71.333042501561152</v>
      </c>
      <c r="Q90" s="691">
        <v>71.333042501561152</v>
      </c>
      <c r="R90" s="691">
        <v>71.333042501561152</v>
      </c>
      <c r="S90" s="691">
        <v>71.333042501561152</v>
      </c>
      <c r="T90" s="691">
        <v>71.333042501561152</v>
      </c>
      <c r="U90" s="691">
        <v>71.333042501561152</v>
      </c>
      <c r="V90" s="691">
        <v>71.333042501561152</v>
      </c>
      <c r="W90" s="691">
        <v>71.333042501561152</v>
      </c>
      <c r="X90" s="691">
        <v>71.333042501561152</v>
      </c>
      <c r="Y90" s="691">
        <v>0</v>
      </c>
      <c r="Z90" s="691">
        <v>0</v>
      </c>
      <c r="AA90" s="691">
        <v>0</v>
      </c>
      <c r="AB90" s="691">
        <v>0</v>
      </c>
      <c r="AC90" s="691">
        <v>0</v>
      </c>
      <c r="AD90" s="691">
        <v>0</v>
      </c>
      <c r="AE90" s="691">
        <v>0</v>
      </c>
      <c r="AF90" s="691">
        <v>0</v>
      </c>
      <c r="AG90" s="691">
        <v>0</v>
      </c>
      <c r="AH90" s="691">
        <v>0</v>
      </c>
      <c r="AI90" s="691">
        <v>0</v>
      </c>
      <c r="AJ90" s="691">
        <v>0</v>
      </c>
      <c r="AK90" s="691">
        <v>0</v>
      </c>
      <c r="AL90" s="691">
        <v>0</v>
      </c>
      <c r="AM90" s="691">
        <v>0</v>
      </c>
      <c r="AN90" s="691">
        <v>0</v>
      </c>
      <c r="AO90" s="692">
        <v>0</v>
      </c>
      <c r="AP90" s="628"/>
      <c r="AQ90" s="690">
        <v>0</v>
      </c>
      <c r="AR90" s="691">
        <v>19804.246446966041</v>
      </c>
      <c r="AS90" s="691">
        <v>19804.246446966041</v>
      </c>
      <c r="AT90" s="691">
        <v>19804.246446966041</v>
      </c>
      <c r="AU90" s="691">
        <v>19804.246446966041</v>
      </c>
      <c r="AV90" s="691">
        <v>19804.246446966041</v>
      </c>
      <c r="AW90" s="691">
        <v>19804.246446966041</v>
      </c>
      <c r="AX90" s="691">
        <v>19804.246446966041</v>
      </c>
      <c r="AY90" s="691">
        <v>19804.246446966041</v>
      </c>
      <c r="AZ90" s="691">
        <v>19804.246446966041</v>
      </c>
      <c r="BA90" s="691">
        <v>19804.246446966041</v>
      </c>
      <c r="BB90" s="691">
        <v>19804.246446966041</v>
      </c>
      <c r="BC90" s="691">
        <v>19804.246446966041</v>
      </c>
      <c r="BD90" s="691">
        <v>0</v>
      </c>
      <c r="BE90" s="691">
        <v>0</v>
      </c>
      <c r="BF90" s="691">
        <v>0</v>
      </c>
      <c r="BG90" s="691">
        <v>0</v>
      </c>
      <c r="BH90" s="691">
        <v>0</v>
      </c>
      <c r="BI90" s="691">
        <v>0</v>
      </c>
      <c r="BJ90" s="691">
        <v>0</v>
      </c>
      <c r="BK90" s="691">
        <v>0</v>
      </c>
      <c r="BL90" s="691">
        <v>0</v>
      </c>
      <c r="BM90" s="691">
        <v>0</v>
      </c>
      <c r="BN90" s="691">
        <v>0</v>
      </c>
      <c r="BO90" s="691">
        <v>0</v>
      </c>
      <c r="BP90" s="691">
        <v>0</v>
      </c>
      <c r="BQ90" s="691">
        <v>0</v>
      </c>
      <c r="BR90" s="691">
        <v>0</v>
      </c>
      <c r="BS90" s="691">
        <v>0</v>
      </c>
      <c r="BT90" s="692">
        <v>0</v>
      </c>
    </row>
    <row r="91" spans="2:73" hidden="1" outlineLevel="1">
      <c r="B91" s="752" t="s">
        <v>208</v>
      </c>
      <c r="C91" s="752" t="s">
        <v>735</v>
      </c>
      <c r="D91" s="752" t="s">
        <v>743</v>
      </c>
      <c r="E91" s="752" t="s">
        <v>733</v>
      </c>
      <c r="F91" s="752" t="s">
        <v>746</v>
      </c>
      <c r="G91" s="752" t="s">
        <v>734</v>
      </c>
      <c r="H91" s="752">
        <v>2012</v>
      </c>
      <c r="I91" s="639" t="s">
        <v>568</v>
      </c>
      <c r="J91" s="639" t="s">
        <v>585</v>
      </c>
      <c r="K91" s="628"/>
      <c r="L91" s="690">
        <v>0</v>
      </c>
      <c r="M91" s="691">
        <v>579.65759100000002</v>
      </c>
      <c r="N91" s="691">
        <v>0</v>
      </c>
      <c r="O91" s="691">
        <v>0</v>
      </c>
      <c r="P91" s="691">
        <v>0</v>
      </c>
      <c r="Q91" s="691">
        <v>0</v>
      </c>
      <c r="R91" s="691">
        <v>0</v>
      </c>
      <c r="S91" s="691">
        <v>0</v>
      </c>
      <c r="T91" s="691">
        <v>0</v>
      </c>
      <c r="U91" s="691">
        <v>0</v>
      </c>
      <c r="V91" s="691">
        <v>0</v>
      </c>
      <c r="W91" s="691">
        <v>0</v>
      </c>
      <c r="X91" s="691">
        <v>0</v>
      </c>
      <c r="Y91" s="691">
        <v>0</v>
      </c>
      <c r="Z91" s="691">
        <v>0</v>
      </c>
      <c r="AA91" s="691">
        <v>0</v>
      </c>
      <c r="AB91" s="691">
        <v>0</v>
      </c>
      <c r="AC91" s="691">
        <v>0</v>
      </c>
      <c r="AD91" s="691">
        <v>0</v>
      </c>
      <c r="AE91" s="691">
        <v>0</v>
      </c>
      <c r="AF91" s="691">
        <v>0</v>
      </c>
      <c r="AG91" s="691">
        <v>0</v>
      </c>
      <c r="AH91" s="691">
        <v>0</v>
      </c>
      <c r="AI91" s="691">
        <v>0</v>
      </c>
      <c r="AJ91" s="691">
        <v>0</v>
      </c>
      <c r="AK91" s="691">
        <v>0</v>
      </c>
      <c r="AL91" s="691">
        <v>0</v>
      </c>
      <c r="AM91" s="691">
        <v>0</v>
      </c>
      <c r="AN91" s="691">
        <v>0</v>
      </c>
      <c r="AO91" s="692">
        <v>0</v>
      </c>
      <c r="AP91" s="628"/>
      <c r="AQ91" s="690">
        <v>0</v>
      </c>
      <c r="AR91" s="691">
        <v>8425.509</v>
      </c>
      <c r="AS91" s="691">
        <v>0</v>
      </c>
      <c r="AT91" s="691">
        <v>0</v>
      </c>
      <c r="AU91" s="691">
        <v>0</v>
      </c>
      <c r="AV91" s="691">
        <v>0</v>
      </c>
      <c r="AW91" s="691">
        <v>0</v>
      </c>
      <c r="AX91" s="691">
        <v>0</v>
      </c>
      <c r="AY91" s="691">
        <v>0</v>
      </c>
      <c r="AZ91" s="691">
        <v>0</v>
      </c>
      <c r="BA91" s="691">
        <v>0</v>
      </c>
      <c r="BB91" s="691">
        <v>0</v>
      </c>
      <c r="BC91" s="691">
        <v>0</v>
      </c>
      <c r="BD91" s="691">
        <v>0</v>
      </c>
      <c r="BE91" s="691">
        <v>0</v>
      </c>
      <c r="BF91" s="691">
        <v>0</v>
      </c>
      <c r="BG91" s="691">
        <v>0</v>
      </c>
      <c r="BH91" s="691">
        <v>0</v>
      </c>
      <c r="BI91" s="691">
        <v>0</v>
      </c>
      <c r="BJ91" s="691">
        <v>0</v>
      </c>
      <c r="BK91" s="691">
        <v>0</v>
      </c>
      <c r="BL91" s="691">
        <v>0</v>
      </c>
      <c r="BM91" s="691">
        <v>0</v>
      </c>
      <c r="BN91" s="691">
        <v>0</v>
      </c>
      <c r="BO91" s="691">
        <v>0</v>
      </c>
      <c r="BP91" s="691">
        <v>0</v>
      </c>
      <c r="BQ91" s="691">
        <v>0</v>
      </c>
      <c r="BR91" s="691">
        <v>0</v>
      </c>
      <c r="BS91" s="691">
        <v>0</v>
      </c>
      <c r="BT91" s="692">
        <v>0</v>
      </c>
    </row>
    <row r="92" spans="2:73" hidden="1" outlineLevel="1">
      <c r="B92" s="752" t="s">
        <v>208</v>
      </c>
      <c r="C92" s="752" t="s">
        <v>744</v>
      </c>
      <c r="D92" s="752" t="s">
        <v>9</v>
      </c>
      <c r="E92" s="752" t="s">
        <v>733</v>
      </c>
      <c r="F92" s="752" t="s">
        <v>744</v>
      </c>
      <c r="G92" s="752" t="s">
        <v>734</v>
      </c>
      <c r="H92" s="752">
        <v>2012</v>
      </c>
      <c r="I92" s="639" t="s">
        <v>568</v>
      </c>
      <c r="J92" s="639" t="s">
        <v>585</v>
      </c>
      <c r="K92" s="628"/>
      <c r="L92" s="690">
        <v>0</v>
      </c>
      <c r="M92" s="691">
        <v>4255.0551266000002</v>
      </c>
      <c r="N92" s="691">
        <v>0</v>
      </c>
      <c r="O92" s="691">
        <v>0</v>
      </c>
      <c r="P92" s="691">
        <v>0</v>
      </c>
      <c r="Q92" s="691">
        <v>0</v>
      </c>
      <c r="R92" s="691">
        <v>0</v>
      </c>
      <c r="S92" s="691">
        <v>0</v>
      </c>
      <c r="T92" s="691">
        <v>0</v>
      </c>
      <c r="U92" s="691">
        <v>0</v>
      </c>
      <c r="V92" s="691">
        <v>0</v>
      </c>
      <c r="W92" s="691">
        <v>0</v>
      </c>
      <c r="X92" s="691">
        <v>0</v>
      </c>
      <c r="Y92" s="691">
        <v>0</v>
      </c>
      <c r="Z92" s="691">
        <v>0</v>
      </c>
      <c r="AA92" s="691">
        <v>0</v>
      </c>
      <c r="AB92" s="691">
        <v>0</v>
      </c>
      <c r="AC92" s="691">
        <v>0</v>
      </c>
      <c r="AD92" s="691">
        <v>0</v>
      </c>
      <c r="AE92" s="691">
        <v>0</v>
      </c>
      <c r="AF92" s="691">
        <v>0</v>
      </c>
      <c r="AG92" s="691">
        <v>0</v>
      </c>
      <c r="AH92" s="691">
        <v>0</v>
      </c>
      <c r="AI92" s="691">
        <v>0</v>
      </c>
      <c r="AJ92" s="691">
        <v>0</v>
      </c>
      <c r="AK92" s="691">
        <v>0</v>
      </c>
      <c r="AL92" s="691">
        <v>0</v>
      </c>
      <c r="AM92" s="691">
        <v>0</v>
      </c>
      <c r="AN92" s="691">
        <v>0</v>
      </c>
      <c r="AO92" s="692">
        <v>0</v>
      </c>
      <c r="AP92" s="628"/>
      <c r="AQ92" s="690">
        <v>0</v>
      </c>
      <c r="AR92" s="691">
        <v>102545</v>
      </c>
      <c r="AS92" s="691">
        <v>0</v>
      </c>
      <c r="AT92" s="691">
        <v>0</v>
      </c>
      <c r="AU92" s="691">
        <v>0</v>
      </c>
      <c r="AV92" s="691">
        <v>0</v>
      </c>
      <c r="AW92" s="691">
        <v>0</v>
      </c>
      <c r="AX92" s="691">
        <v>0</v>
      </c>
      <c r="AY92" s="691">
        <v>0</v>
      </c>
      <c r="AZ92" s="691">
        <v>0</v>
      </c>
      <c r="BA92" s="691">
        <v>0</v>
      </c>
      <c r="BB92" s="691">
        <v>0</v>
      </c>
      <c r="BC92" s="691">
        <v>0</v>
      </c>
      <c r="BD92" s="691">
        <v>0</v>
      </c>
      <c r="BE92" s="691">
        <v>0</v>
      </c>
      <c r="BF92" s="691">
        <v>0</v>
      </c>
      <c r="BG92" s="691">
        <v>0</v>
      </c>
      <c r="BH92" s="691">
        <v>0</v>
      </c>
      <c r="BI92" s="691">
        <v>0</v>
      </c>
      <c r="BJ92" s="691">
        <v>0</v>
      </c>
      <c r="BK92" s="691">
        <v>0</v>
      </c>
      <c r="BL92" s="691">
        <v>0</v>
      </c>
      <c r="BM92" s="691">
        <v>0</v>
      </c>
      <c r="BN92" s="691">
        <v>0</v>
      </c>
      <c r="BO92" s="691">
        <v>0</v>
      </c>
      <c r="BP92" s="691">
        <v>0</v>
      </c>
      <c r="BQ92" s="691">
        <v>0</v>
      </c>
      <c r="BR92" s="691">
        <v>0</v>
      </c>
      <c r="BS92" s="691">
        <v>0</v>
      </c>
      <c r="BT92" s="692">
        <v>0</v>
      </c>
    </row>
    <row r="93" spans="2:73" hidden="1" outlineLevel="1">
      <c r="B93" s="752" t="s">
        <v>750</v>
      </c>
      <c r="C93" s="752" t="s">
        <v>735</v>
      </c>
      <c r="D93" s="752" t="s">
        <v>9</v>
      </c>
      <c r="E93" s="752" t="s">
        <v>733</v>
      </c>
      <c r="F93" s="752" t="s">
        <v>735</v>
      </c>
      <c r="G93" s="752" t="s">
        <v>734</v>
      </c>
      <c r="H93" s="752">
        <v>2012</v>
      </c>
      <c r="I93" s="639" t="s">
        <v>568</v>
      </c>
      <c r="J93" s="639" t="s">
        <v>585</v>
      </c>
      <c r="K93" s="628"/>
      <c r="L93" s="690">
        <v>0</v>
      </c>
      <c r="M93" s="691">
        <v>227.45094450000002</v>
      </c>
      <c r="N93" s="691">
        <v>0</v>
      </c>
      <c r="O93" s="691">
        <v>0</v>
      </c>
      <c r="P93" s="691">
        <v>0</v>
      </c>
      <c r="Q93" s="691">
        <v>0</v>
      </c>
      <c r="R93" s="691">
        <v>0</v>
      </c>
      <c r="S93" s="691">
        <v>0</v>
      </c>
      <c r="T93" s="691">
        <v>0</v>
      </c>
      <c r="U93" s="691">
        <v>0</v>
      </c>
      <c r="V93" s="691">
        <v>0</v>
      </c>
      <c r="W93" s="691">
        <v>0</v>
      </c>
      <c r="X93" s="691">
        <v>0</v>
      </c>
      <c r="Y93" s="691">
        <v>0</v>
      </c>
      <c r="Z93" s="691">
        <v>0</v>
      </c>
      <c r="AA93" s="691">
        <v>0</v>
      </c>
      <c r="AB93" s="691">
        <v>0</v>
      </c>
      <c r="AC93" s="691">
        <v>0</v>
      </c>
      <c r="AD93" s="691">
        <v>0</v>
      </c>
      <c r="AE93" s="691">
        <v>0</v>
      </c>
      <c r="AF93" s="691">
        <v>0</v>
      </c>
      <c r="AG93" s="691">
        <v>0</v>
      </c>
      <c r="AH93" s="691">
        <v>0</v>
      </c>
      <c r="AI93" s="691">
        <v>0</v>
      </c>
      <c r="AJ93" s="691">
        <v>0</v>
      </c>
      <c r="AK93" s="691">
        <v>0</v>
      </c>
      <c r="AL93" s="691">
        <v>0</v>
      </c>
      <c r="AM93" s="691">
        <v>0</v>
      </c>
      <c r="AN93" s="691">
        <v>0</v>
      </c>
      <c r="AO93" s="692">
        <v>0</v>
      </c>
      <c r="AP93" s="628"/>
      <c r="AQ93" s="690">
        <v>0</v>
      </c>
      <c r="AR93" s="691">
        <v>3306.0720000000001</v>
      </c>
      <c r="AS93" s="691">
        <v>0</v>
      </c>
      <c r="AT93" s="691">
        <v>0</v>
      </c>
      <c r="AU93" s="691">
        <v>0</v>
      </c>
      <c r="AV93" s="691">
        <v>0</v>
      </c>
      <c r="AW93" s="691">
        <v>0</v>
      </c>
      <c r="AX93" s="691">
        <v>0</v>
      </c>
      <c r="AY93" s="691">
        <v>0</v>
      </c>
      <c r="AZ93" s="691">
        <v>0</v>
      </c>
      <c r="BA93" s="691">
        <v>0</v>
      </c>
      <c r="BB93" s="691">
        <v>0</v>
      </c>
      <c r="BC93" s="691">
        <v>0</v>
      </c>
      <c r="BD93" s="691">
        <v>0</v>
      </c>
      <c r="BE93" s="691">
        <v>0</v>
      </c>
      <c r="BF93" s="691">
        <v>0</v>
      </c>
      <c r="BG93" s="691">
        <v>0</v>
      </c>
      <c r="BH93" s="691">
        <v>0</v>
      </c>
      <c r="BI93" s="691">
        <v>0</v>
      </c>
      <c r="BJ93" s="691">
        <v>0</v>
      </c>
      <c r="BK93" s="691">
        <v>0</v>
      </c>
      <c r="BL93" s="691">
        <v>0</v>
      </c>
      <c r="BM93" s="691">
        <v>0</v>
      </c>
      <c r="BN93" s="691">
        <v>0</v>
      </c>
      <c r="BO93" s="691">
        <v>0</v>
      </c>
      <c r="BP93" s="691">
        <v>0</v>
      </c>
      <c r="BQ93" s="691">
        <v>0</v>
      </c>
      <c r="BR93" s="691">
        <v>0</v>
      </c>
      <c r="BS93" s="691">
        <v>0</v>
      </c>
      <c r="BT93" s="692">
        <v>0</v>
      </c>
    </row>
    <row r="94" spans="2:73" hidden="1" outlineLevel="1">
      <c r="B94" s="752" t="s">
        <v>750</v>
      </c>
      <c r="C94" s="752" t="s">
        <v>735</v>
      </c>
      <c r="D94" s="752" t="s">
        <v>751</v>
      </c>
      <c r="E94" s="752" t="s">
        <v>733</v>
      </c>
      <c r="F94" s="752" t="s">
        <v>736</v>
      </c>
      <c r="G94" s="752" t="s">
        <v>739</v>
      </c>
      <c r="H94" s="752">
        <v>2012</v>
      </c>
      <c r="I94" s="639" t="s">
        <v>569</v>
      </c>
      <c r="J94" s="639" t="s">
        <v>585</v>
      </c>
      <c r="K94" s="628"/>
      <c r="L94" s="690">
        <v>0</v>
      </c>
      <c r="M94" s="691">
        <v>5.1771746299999997</v>
      </c>
      <c r="N94" s="691">
        <v>5.1771746299999997</v>
      </c>
      <c r="O94" s="691">
        <v>5.1771746299999997</v>
      </c>
      <c r="P94" s="691">
        <v>5.1771746299999997</v>
      </c>
      <c r="Q94" s="691">
        <v>0</v>
      </c>
      <c r="R94" s="691">
        <v>0</v>
      </c>
      <c r="S94" s="691">
        <v>0</v>
      </c>
      <c r="T94" s="691">
        <v>0</v>
      </c>
      <c r="U94" s="691">
        <v>0</v>
      </c>
      <c r="V94" s="691">
        <v>0</v>
      </c>
      <c r="W94" s="691">
        <v>0</v>
      </c>
      <c r="X94" s="691">
        <v>0</v>
      </c>
      <c r="Y94" s="691">
        <v>0</v>
      </c>
      <c r="Z94" s="691">
        <v>0</v>
      </c>
      <c r="AA94" s="691">
        <v>0</v>
      </c>
      <c r="AB94" s="691">
        <v>0</v>
      </c>
      <c r="AC94" s="691">
        <v>0</v>
      </c>
      <c r="AD94" s="691">
        <v>0</v>
      </c>
      <c r="AE94" s="691">
        <v>0</v>
      </c>
      <c r="AF94" s="691">
        <v>0</v>
      </c>
      <c r="AG94" s="691">
        <v>0</v>
      </c>
      <c r="AH94" s="691">
        <v>0</v>
      </c>
      <c r="AI94" s="691">
        <v>0</v>
      </c>
      <c r="AJ94" s="691">
        <v>0</v>
      </c>
      <c r="AK94" s="691">
        <v>0</v>
      </c>
      <c r="AL94" s="691">
        <v>0</v>
      </c>
      <c r="AM94" s="691">
        <v>0</v>
      </c>
      <c r="AN94" s="691">
        <v>0</v>
      </c>
      <c r="AO94" s="692">
        <v>0</v>
      </c>
      <c r="AP94" s="628"/>
      <c r="AQ94" s="690">
        <v>0</v>
      </c>
      <c r="AR94" s="691">
        <v>25176.254462563</v>
      </c>
      <c r="AS94" s="691">
        <v>25176.254462563</v>
      </c>
      <c r="AT94" s="691">
        <v>25176.254462563</v>
      </c>
      <c r="AU94" s="691">
        <v>25176.254462563</v>
      </c>
      <c r="AV94" s="691">
        <v>0</v>
      </c>
      <c r="AW94" s="691">
        <v>0</v>
      </c>
      <c r="AX94" s="691">
        <v>0</v>
      </c>
      <c r="AY94" s="691">
        <v>0</v>
      </c>
      <c r="AZ94" s="691">
        <v>0</v>
      </c>
      <c r="BA94" s="691">
        <v>0</v>
      </c>
      <c r="BB94" s="691">
        <v>0</v>
      </c>
      <c r="BC94" s="691">
        <v>0</v>
      </c>
      <c r="BD94" s="691">
        <v>0</v>
      </c>
      <c r="BE94" s="691">
        <v>0</v>
      </c>
      <c r="BF94" s="691">
        <v>0</v>
      </c>
      <c r="BG94" s="691">
        <v>0</v>
      </c>
      <c r="BH94" s="691">
        <v>0</v>
      </c>
      <c r="BI94" s="691">
        <v>0</v>
      </c>
      <c r="BJ94" s="691">
        <v>0</v>
      </c>
      <c r="BK94" s="691">
        <v>0</v>
      </c>
      <c r="BL94" s="691">
        <v>0</v>
      </c>
      <c r="BM94" s="691">
        <v>0</v>
      </c>
      <c r="BN94" s="691">
        <v>0</v>
      </c>
      <c r="BO94" s="691">
        <v>0</v>
      </c>
      <c r="BP94" s="691">
        <v>0</v>
      </c>
      <c r="BQ94" s="691">
        <v>0</v>
      </c>
      <c r="BR94" s="691">
        <v>0</v>
      </c>
      <c r="BS94" s="691">
        <v>0</v>
      </c>
      <c r="BT94" s="692">
        <v>0</v>
      </c>
    </row>
    <row r="95" spans="2:73" hidden="1" outlineLevel="1">
      <c r="B95" s="752" t="s">
        <v>750</v>
      </c>
      <c r="C95" s="752" t="s">
        <v>735</v>
      </c>
      <c r="D95" s="752" t="s">
        <v>22</v>
      </c>
      <c r="E95" s="752" t="s">
        <v>733</v>
      </c>
      <c r="F95" s="752" t="s">
        <v>736</v>
      </c>
      <c r="G95" s="752" t="s">
        <v>739</v>
      </c>
      <c r="H95" s="752">
        <v>2012</v>
      </c>
      <c r="I95" s="639" t="s">
        <v>569</v>
      </c>
      <c r="J95" s="639" t="s">
        <v>578</v>
      </c>
      <c r="K95" s="628"/>
      <c r="L95" s="690">
        <v>0</v>
      </c>
      <c r="M95" s="691">
        <v>55.950025887000002</v>
      </c>
      <c r="N95" s="691">
        <v>55.950025887000002</v>
      </c>
      <c r="O95" s="691">
        <v>55.950025887000002</v>
      </c>
      <c r="P95" s="691">
        <v>55.950025887000002</v>
      </c>
      <c r="Q95" s="691">
        <v>55.950025887000002</v>
      </c>
      <c r="R95" s="691">
        <v>50.809319668999997</v>
      </c>
      <c r="S95" s="691">
        <v>49.405623912999999</v>
      </c>
      <c r="T95" s="691">
        <v>49.405623912999999</v>
      </c>
      <c r="U95" s="691">
        <v>49.405623912999999</v>
      </c>
      <c r="V95" s="691">
        <v>41.017673768999998</v>
      </c>
      <c r="W95" s="691">
        <v>22.559212615</v>
      </c>
      <c r="X95" s="691">
        <v>22.559212615</v>
      </c>
      <c r="Y95" s="691">
        <v>19.487293304000001</v>
      </c>
      <c r="Z95" s="691">
        <v>19.487293304000001</v>
      </c>
      <c r="AA95" s="691">
        <v>19.487293304000001</v>
      </c>
      <c r="AB95" s="691">
        <v>15.318200276000001</v>
      </c>
      <c r="AC95" s="691">
        <v>4.6887715180000002</v>
      </c>
      <c r="AD95" s="691">
        <v>4.6257363250000001</v>
      </c>
      <c r="AE95" s="691">
        <v>4.6257363250000001</v>
      </c>
      <c r="AF95" s="691">
        <v>4.6257363250000001</v>
      </c>
      <c r="AG95" s="691">
        <v>0</v>
      </c>
      <c r="AH95" s="691">
        <v>0</v>
      </c>
      <c r="AI95" s="691">
        <v>0</v>
      </c>
      <c r="AJ95" s="691">
        <v>0</v>
      </c>
      <c r="AK95" s="691">
        <v>0</v>
      </c>
      <c r="AL95" s="691">
        <v>0</v>
      </c>
      <c r="AM95" s="691">
        <v>0</v>
      </c>
      <c r="AN95" s="691">
        <v>0</v>
      </c>
      <c r="AO95" s="692">
        <v>0</v>
      </c>
      <c r="AP95" s="628"/>
      <c r="AQ95" s="690">
        <v>0</v>
      </c>
      <c r="AR95" s="691">
        <v>273422.52283725201</v>
      </c>
      <c r="AS95" s="691">
        <v>273422.52283725201</v>
      </c>
      <c r="AT95" s="691">
        <v>273422.52283725201</v>
      </c>
      <c r="AU95" s="691">
        <v>273422.52283725201</v>
      </c>
      <c r="AV95" s="691">
        <v>273422.52283725201</v>
      </c>
      <c r="AW95" s="691">
        <v>254850.001857581</v>
      </c>
      <c r="AX95" s="691">
        <v>248836.65630365899</v>
      </c>
      <c r="AY95" s="691">
        <v>248836.65630365899</v>
      </c>
      <c r="AZ95" s="691">
        <v>241169.444518181</v>
      </c>
      <c r="BA95" s="691">
        <v>202320.48479508399</v>
      </c>
      <c r="BB95" s="691">
        <v>115781.371865077</v>
      </c>
      <c r="BC95" s="691">
        <v>104425.57735628</v>
      </c>
      <c r="BD95" s="691">
        <v>87730.859035412999</v>
      </c>
      <c r="BE95" s="691">
        <v>87730.859035412999</v>
      </c>
      <c r="BF95" s="691">
        <v>87730.859035412999</v>
      </c>
      <c r="BG95" s="691">
        <v>63885.188180317004</v>
      </c>
      <c r="BH95" s="691">
        <v>3907.0747812569998</v>
      </c>
      <c r="BI95" s="691">
        <v>3854.9027001909999</v>
      </c>
      <c r="BJ95" s="691">
        <v>3854.9027001909999</v>
      </c>
      <c r="BK95" s="691">
        <v>3854.9027001909999</v>
      </c>
      <c r="BL95" s="691">
        <v>0</v>
      </c>
      <c r="BM95" s="691">
        <v>0</v>
      </c>
      <c r="BN95" s="691">
        <v>0</v>
      </c>
      <c r="BO95" s="691">
        <v>0</v>
      </c>
      <c r="BP95" s="691">
        <v>0</v>
      </c>
      <c r="BQ95" s="691">
        <v>0</v>
      </c>
      <c r="BR95" s="691">
        <v>0</v>
      </c>
      <c r="BS95" s="691">
        <v>0</v>
      </c>
      <c r="BT95" s="692">
        <v>0</v>
      </c>
    </row>
    <row r="96" spans="2:73" hidden="1" outlineLevel="1">
      <c r="B96" s="752" t="s">
        <v>750</v>
      </c>
      <c r="C96" s="752" t="s">
        <v>731</v>
      </c>
      <c r="D96" s="752" t="s">
        <v>748</v>
      </c>
      <c r="E96" s="752" t="s">
        <v>733</v>
      </c>
      <c r="F96" s="752" t="s">
        <v>29</v>
      </c>
      <c r="G96" s="752" t="s">
        <v>739</v>
      </c>
      <c r="H96" s="752">
        <v>2012</v>
      </c>
      <c r="I96" s="639" t="s">
        <v>569</v>
      </c>
      <c r="J96" s="639" t="s">
        <v>578</v>
      </c>
      <c r="K96" s="628"/>
      <c r="L96" s="690">
        <v>0</v>
      </c>
      <c r="M96" s="691">
        <v>7.1405981720000007</v>
      </c>
      <c r="N96" s="691">
        <v>7.1405981720000007</v>
      </c>
      <c r="O96" s="691">
        <v>7.1405981720000007</v>
      </c>
      <c r="P96" s="691">
        <v>7.1405981720000007</v>
      </c>
      <c r="Q96" s="691">
        <v>7.1405981720000007</v>
      </c>
      <c r="R96" s="691">
        <v>7.1405981720000007</v>
      </c>
      <c r="S96" s="691">
        <v>7.1405981720000007</v>
      </c>
      <c r="T96" s="691">
        <v>7.1405981720000007</v>
      </c>
      <c r="U96" s="691">
        <v>7.1405981720000007</v>
      </c>
      <c r="V96" s="691">
        <v>7.1405981720000007</v>
      </c>
      <c r="W96" s="691">
        <v>7.1405981720000007</v>
      </c>
      <c r="X96" s="691">
        <v>7.1405981720000007</v>
      </c>
      <c r="Y96" s="691">
        <v>7.1405981720000007</v>
      </c>
      <c r="Z96" s="691">
        <v>7.1405981720000007</v>
      </c>
      <c r="AA96" s="691">
        <v>7.1405981720000007</v>
      </c>
      <c r="AB96" s="691">
        <v>7.1405981720000007</v>
      </c>
      <c r="AC96" s="691">
        <v>7.1405981720000007</v>
      </c>
      <c r="AD96" s="691">
        <v>7.1405981720000007</v>
      </c>
      <c r="AE96" s="691">
        <v>7.1405981720000007</v>
      </c>
      <c r="AF96" s="691">
        <v>6.5164162790000004</v>
      </c>
      <c r="AG96" s="691">
        <v>0</v>
      </c>
      <c r="AH96" s="691">
        <v>0</v>
      </c>
      <c r="AI96" s="691">
        <v>0</v>
      </c>
      <c r="AJ96" s="691">
        <v>0</v>
      </c>
      <c r="AK96" s="691">
        <v>0</v>
      </c>
      <c r="AL96" s="691">
        <v>0</v>
      </c>
      <c r="AM96" s="691">
        <v>0</v>
      </c>
      <c r="AN96" s="691">
        <v>0</v>
      </c>
      <c r="AO96" s="692">
        <v>0</v>
      </c>
      <c r="AP96" s="628"/>
      <c r="AQ96" s="690">
        <v>0</v>
      </c>
      <c r="AR96" s="691">
        <v>14970.355943823999</v>
      </c>
      <c r="AS96" s="691">
        <v>14970.355943823999</v>
      </c>
      <c r="AT96" s="691">
        <v>14970.355943823999</v>
      </c>
      <c r="AU96" s="691">
        <v>14970.355943823999</v>
      </c>
      <c r="AV96" s="691">
        <v>14970.355943823999</v>
      </c>
      <c r="AW96" s="691">
        <v>14970.355943823999</v>
      </c>
      <c r="AX96" s="691">
        <v>14970.355943823999</v>
      </c>
      <c r="AY96" s="691">
        <v>14970.355943823999</v>
      </c>
      <c r="AZ96" s="691">
        <v>14970.355943823999</v>
      </c>
      <c r="BA96" s="691">
        <v>14970.355943823999</v>
      </c>
      <c r="BB96" s="691">
        <v>14970.355943823999</v>
      </c>
      <c r="BC96" s="691">
        <v>14970.355943823999</v>
      </c>
      <c r="BD96" s="691">
        <v>14970.355943823999</v>
      </c>
      <c r="BE96" s="691">
        <v>14970.355943823999</v>
      </c>
      <c r="BF96" s="691">
        <v>14970.355943823999</v>
      </c>
      <c r="BG96" s="691">
        <v>14970.355943823999</v>
      </c>
      <c r="BH96" s="691">
        <v>14970.355943823999</v>
      </c>
      <c r="BI96" s="691">
        <v>14970.355943823999</v>
      </c>
      <c r="BJ96" s="691">
        <v>14346.627738177</v>
      </c>
      <c r="BK96" s="691">
        <v>0</v>
      </c>
      <c r="BL96" s="691">
        <v>0</v>
      </c>
      <c r="BM96" s="691">
        <v>0</v>
      </c>
      <c r="BN96" s="691">
        <v>0</v>
      </c>
      <c r="BO96" s="691">
        <v>0</v>
      </c>
      <c r="BP96" s="691">
        <v>0</v>
      </c>
      <c r="BQ96" s="691">
        <v>0</v>
      </c>
      <c r="BR96" s="691">
        <v>0</v>
      </c>
      <c r="BS96" s="691">
        <v>0</v>
      </c>
      <c r="BT96" s="692">
        <v>0</v>
      </c>
    </row>
    <row r="97" spans="2:73" hidden="1" outlineLevel="1">
      <c r="B97" s="752" t="s">
        <v>750</v>
      </c>
      <c r="C97" s="752" t="s">
        <v>731</v>
      </c>
      <c r="D97" s="752" t="s">
        <v>748</v>
      </c>
      <c r="E97" s="752" t="s">
        <v>733</v>
      </c>
      <c r="F97" s="752" t="s">
        <v>29</v>
      </c>
      <c r="G97" s="752" t="s">
        <v>739</v>
      </c>
      <c r="H97" s="752">
        <v>2012</v>
      </c>
      <c r="I97" s="639" t="s">
        <v>569</v>
      </c>
      <c r="J97" s="639" t="s">
        <v>578</v>
      </c>
      <c r="K97" s="628"/>
      <c r="L97" s="690">
        <v>0</v>
      </c>
      <c r="M97" s="691">
        <v>6.6583499033609037E-2</v>
      </c>
      <c r="N97" s="691">
        <v>6.6583499033609037E-2</v>
      </c>
      <c r="O97" s="691">
        <v>6.6583499033609037E-2</v>
      </c>
      <c r="P97" s="691">
        <v>6.6583499033609037E-2</v>
      </c>
      <c r="Q97" s="691">
        <v>6.6583499033609037E-2</v>
      </c>
      <c r="R97" s="691">
        <v>6.6583499033609037E-2</v>
      </c>
      <c r="S97" s="691">
        <v>6.6583499033609037E-2</v>
      </c>
      <c r="T97" s="691">
        <v>6.6583499033609037E-2</v>
      </c>
      <c r="U97" s="691">
        <v>6.6583499033609037E-2</v>
      </c>
      <c r="V97" s="691">
        <v>6.6583499033609037E-2</v>
      </c>
      <c r="W97" s="691">
        <v>6.6583499033609037E-2</v>
      </c>
      <c r="X97" s="691">
        <v>6.6583499033609037E-2</v>
      </c>
      <c r="Y97" s="691">
        <v>6.6583499033609037E-2</v>
      </c>
      <c r="Z97" s="691">
        <v>6.6583499033609037E-2</v>
      </c>
      <c r="AA97" s="691">
        <v>6.6583499033609037E-2</v>
      </c>
      <c r="AB97" s="691">
        <v>6.6583499033609037E-2</v>
      </c>
      <c r="AC97" s="691">
        <v>6.6583499033609037E-2</v>
      </c>
      <c r="AD97" s="691">
        <v>6.6583499033609037E-2</v>
      </c>
      <c r="AE97" s="691">
        <v>6.6583499033609037E-2</v>
      </c>
      <c r="AF97" s="691">
        <v>5.7229561010292744E-2</v>
      </c>
      <c r="AG97" s="691">
        <v>0</v>
      </c>
      <c r="AH97" s="691">
        <v>0</v>
      </c>
      <c r="AI97" s="691">
        <v>0</v>
      </c>
      <c r="AJ97" s="691">
        <v>0</v>
      </c>
      <c r="AK97" s="691">
        <v>0</v>
      </c>
      <c r="AL97" s="691">
        <v>0</v>
      </c>
      <c r="AM97" s="691">
        <v>0</v>
      </c>
      <c r="AN97" s="691">
        <v>0</v>
      </c>
      <c r="AO97" s="692">
        <v>0</v>
      </c>
      <c r="AP97" s="628"/>
      <c r="AQ97" s="690">
        <v>0</v>
      </c>
      <c r="AR97" s="691">
        <v>135.37302110593723</v>
      </c>
      <c r="AS97" s="691">
        <v>135.37302110593723</v>
      </c>
      <c r="AT97" s="691">
        <v>135.37302110593723</v>
      </c>
      <c r="AU97" s="691">
        <v>135.37302110593723</v>
      </c>
      <c r="AV97" s="691">
        <v>135.37302110593723</v>
      </c>
      <c r="AW97" s="691">
        <v>135.37302110593723</v>
      </c>
      <c r="AX97" s="691">
        <v>135.37302110593723</v>
      </c>
      <c r="AY97" s="691">
        <v>135.37302110593723</v>
      </c>
      <c r="AZ97" s="691">
        <v>135.37302110593723</v>
      </c>
      <c r="BA97" s="691">
        <v>135.37302110593723</v>
      </c>
      <c r="BB97" s="691">
        <v>135.37302110593723</v>
      </c>
      <c r="BC97" s="691">
        <v>135.37302110593723</v>
      </c>
      <c r="BD97" s="691">
        <v>135.37302110593723</v>
      </c>
      <c r="BE97" s="691">
        <v>135.37302110593723</v>
      </c>
      <c r="BF97" s="691">
        <v>135.37302110593723</v>
      </c>
      <c r="BG97" s="691">
        <v>135.37302110593723</v>
      </c>
      <c r="BH97" s="691">
        <v>135.37302110593723</v>
      </c>
      <c r="BI97" s="691">
        <v>135.37302110593723</v>
      </c>
      <c r="BJ97" s="691">
        <v>125.99735379765848</v>
      </c>
      <c r="BK97" s="691">
        <v>0</v>
      </c>
      <c r="BL97" s="691">
        <v>0</v>
      </c>
      <c r="BM97" s="691">
        <v>0</v>
      </c>
      <c r="BN97" s="691">
        <v>0</v>
      </c>
      <c r="BO97" s="691">
        <v>0</v>
      </c>
      <c r="BP97" s="691">
        <v>0</v>
      </c>
      <c r="BQ97" s="691">
        <v>0</v>
      </c>
      <c r="BR97" s="691">
        <v>0</v>
      </c>
      <c r="BS97" s="691">
        <v>0</v>
      </c>
      <c r="BT97" s="692">
        <v>0</v>
      </c>
    </row>
    <row r="98" spans="2:73" ht="15.75" hidden="1" outlineLevel="1">
      <c r="B98" s="752" t="s">
        <v>750</v>
      </c>
      <c r="C98" s="752" t="s">
        <v>735</v>
      </c>
      <c r="D98" s="752" t="s">
        <v>20</v>
      </c>
      <c r="E98" s="752" t="s">
        <v>733</v>
      </c>
      <c r="F98" s="752" t="s">
        <v>738</v>
      </c>
      <c r="G98" s="752" t="s">
        <v>739</v>
      </c>
      <c r="H98" s="752">
        <v>2012</v>
      </c>
      <c r="I98" s="639" t="s">
        <v>570</v>
      </c>
      <c r="J98" s="639" t="s">
        <v>578</v>
      </c>
      <c r="K98" s="628"/>
      <c r="L98" s="690">
        <v>0</v>
      </c>
      <c r="M98" s="691">
        <v>0.172466273</v>
      </c>
      <c r="N98" s="691">
        <v>0.172466273</v>
      </c>
      <c r="O98" s="691">
        <v>0.172466273</v>
      </c>
      <c r="P98" s="691">
        <v>0.172466273</v>
      </c>
      <c r="Q98" s="691">
        <v>0</v>
      </c>
      <c r="R98" s="691">
        <v>0</v>
      </c>
      <c r="S98" s="691">
        <v>0</v>
      </c>
      <c r="T98" s="691">
        <v>0</v>
      </c>
      <c r="U98" s="691">
        <v>0</v>
      </c>
      <c r="V98" s="691">
        <v>0</v>
      </c>
      <c r="W98" s="691">
        <v>0</v>
      </c>
      <c r="X98" s="691">
        <v>0</v>
      </c>
      <c r="Y98" s="691">
        <v>0</v>
      </c>
      <c r="Z98" s="691">
        <v>0</v>
      </c>
      <c r="AA98" s="691">
        <v>0</v>
      </c>
      <c r="AB98" s="691">
        <v>0</v>
      </c>
      <c r="AC98" s="691">
        <v>0</v>
      </c>
      <c r="AD98" s="691">
        <v>0</v>
      </c>
      <c r="AE98" s="691">
        <v>0</v>
      </c>
      <c r="AF98" s="691">
        <v>0</v>
      </c>
      <c r="AG98" s="691">
        <v>0</v>
      </c>
      <c r="AH98" s="691">
        <v>0</v>
      </c>
      <c r="AI98" s="691">
        <v>0</v>
      </c>
      <c r="AJ98" s="691">
        <v>0</v>
      </c>
      <c r="AK98" s="691">
        <v>0</v>
      </c>
      <c r="AL98" s="691">
        <v>0</v>
      </c>
      <c r="AM98" s="691">
        <v>0</v>
      </c>
      <c r="AN98" s="691">
        <v>0</v>
      </c>
      <c r="AO98" s="692">
        <v>0</v>
      </c>
      <c r="AP98" s="628"/>
      <c r="AQ98" s="690">
        <v>0</v>
      </c>
      <c r="AR98" s="691">
        <v>854.05976269999996</v>
      </c>
      <c r="AS98" s="691">
        <v>854.05976269999996</v>
      </c>
      <c r="AT98" s="691">
        <v>854.05976269999996</v>
      </c>
      <c r="AU98" s="691">
        <v>854.05976269999996</v>
      </c>
      <c r="AV98" s="691">
        <v>0</v>
      </c>
      <c r="AW98" s="691">
        <v>0</v>
      </c>
      <c r="AX98" s="691">
        <v>0</v>
      </c>
      <c r="AY98" s="691">
        <v>0</v>
      </c>
      <c r="AZ98" s="691">
        <v>0</v>
      </c>
      <c r="BA98" s="691">
        <v>0</v>
      </c>
      <c r="BB98" s="691">
        <v>0</v>
      </c>
      <c r="BC98" s="691">
        <v>0</v>
      </c>
      <c r="BD98" s="691">
        <v>0</v>
      </c>
      <c r="BE98" s="691">
        <v>0</v>
      </c>
      <c r="BF98" s="691">
        <v>0</v>
      </c>
      <c r="BG98" s="691">
        <v>0</v>
      </c>
      <c r="BH98" s="691">
        <v>0</v>
      </c>
      <c r="BI98" s="691">
        <v>0</v>
      </c>
      <c r="BJ98" s="691">
        <v>0</v>
      </c>
      <c r="BK98" s="691">
        <v>0</v>
      </c>
      <c r="BL98" s="691">
        <v>0</v>
      </c>
      <c r="BM98" s="691">
        <v>0</v>
      </c>
      <c r="BN98" s="691">
        <v>0</v>
      </c>
      <c r="BO98" s="691">
        <v>0</v>
      </c>
      <c r="BP98" s="691">
        <v>0</v>
      </c>
      <c r="BQ98" s="691">
        <v>0</v>
      </c>
      <c r="BR98" s="691">
        <v>0</v>
      </c>
      <c r="BS98" s="691">
        <v>0</v>
      </c>
      <c r="BT98" s="692">
        <v>0</v>
      </c>
      <c r="BU98" s="163"/>
    </row>
    <row r="99" spans="2:73" ht="15.75" hidden="1" outlineLevel="1">
      <c r="B99" s="752" t="s">
        <v>750</v>
      </c>
      <c r="C99" s="752" t="s">
        <v>735</v>
      </c>
      <c r="D99" s="752" t="s">
        <v>20</v>
      </c>
      <c r="E99" s="752" t="s">
        <v>733</v>
      </c>
      <c r="F99" s="752" t="s">
        <v>738</v>
      </c>
      <c r="G99" s="752" t="s">
        <v>739</v>
      </c>
      <c r="H99" s="752">
        <v>2012</v>
      </c>
      <c r="I99" s="639" t="s">
        <v>570</v>
      </c>
      <c r="J99" s="639" t="s">
        <v>578</v>
      </c>
      <c r="K99" s="628"/>
      <c r="L99" s="690">
        <v>0</v>
      </c>
      <c r="M99" s="691">
        <v>0.68986508999999996</v>
      </c>
      <c r="N99" s="691">
        <v>0.68986508999999996</v>
      </c>
      <c r="O99" s="691">
        <v>0.68986508999999996</v>
      </c>
      <c r="P99" s="691">
        <v>0.68986508999999996</v>
      </c>
      <c r="Q99" s="691">
        <v>0</v>
      </c>
      <c r="R99" s="691">
        <v>0</v>
      </c>
      <c r="S99" s="691">
        <v>0</v>
      </c>
      <c r="T99" s="691">
        <v>0</v>
      </c>
      <c r="U99" s="691">
        <v>0</v>
      </c>
      <c r="V99" s="691">
        <v>0</v>
      </c>
      <c r="W99" s="691">
        <v>0</v>
      </c>
      <c r="X99" s="691">
        <v>0</v>
      </c>
      <c r="Y99" s="691">
        <v>0</v>
      </c>
      <c r="Z99" s="691">
        <v>0</v>
      </c>
      <c r="AA99" s="691">
        <v>0</v>
      </c>
      <c r="AB99" s="691">
        <v>0</v>
      </c>
      <c r="AC99" s="691">
        <v>0</v>
      </c>
      <c r="AD99" s="691">
        <v>0</v>
      </c>
      <c r="AE99" s="691">
        <v>0</v>
      </c>
      <c r="AF99" s="691">
        <v>0</v>
      </c>
      <c r="AG99" s="691">
        <v>0</v>
      </c>
      <c r="AH99" s="691">
        <v>0</v>
      </c>
      <c r="AI99" s="691">
        <v>0</v>
      </c>
      <c r="AJ99" s="691">
        <v>0</v>
      </c>
      <c r="AK99" s="691">
        <v>0</v>
      </c>
      <c r="AL99" s="691">
        <v>0</v>
      </c>
      <c r="AM99" s="691">
        <v>0</v>
      </c>
      <c r="AN99" s="691">
        <v>0</v>
      </c>
      <c r="AO99" s="692">
        <v>0</v>
      </c>
      <c r="AP99" s="628"/>
      <c r="AQ99" s="690">
        <v>0</v>
      </c>
      <c r="AR99" s="691">
        <v>3416.239051</v>
      </c>
      <c r="AS99" s="691">
        <v>3416.239051</v>
      </c>
      <c r="AT99" s="691">
        <v>3416.239051</v>
      </c>
      <c r="AU99" s="691">
        <v>3416.239051</v>
      </c>
      <c r="AV99" s="691">
        <v>0</v>
      </c>
      <c r="AW99" s="691">
        <v>0</v>
      </c>
      <c r="AX99" s="691">
        <v>0</v>
      </c>
      <c r="AY99" s="691">
        <v>0</v>
      </c>
      <c r="AZ99" s="691">
        <v>0</v>
      </c>
      <c r="BA99" s="691">
        <v>0</v>
      </c>
      <c r="BB99" s="691">
        <v>0</v>
      </c>
      <c r="BC99" s="691">
        <v>0</v>
      </c>
      <c r="BD99" s="691">
        <v>0</v>
      </c>
      <c r="BE99" s="691">
        <v>0</v>
      </c>
      <c r="BF99" s="691">
        <v>0</v>
      </c>
      <c r="BG99" s="691">
        <v>0</v>
      </c>
      <c r="BH99" s="691">
        <v>0</v>
      </c>
      <c r="BI99" s="691">
        <v>0</v>
      </c>
      <c r="BJ99" s="691">
        <v>0</v>
      </c>
      <c r="BK99" s="691">
        <v>0</v>
      </c>
      <c r="BL99" s="691">
        <v>0</v>
      </c>
      <c r="BM99" s="691">
        <v>0</v>
      </c>
      <c r="BN99" s="691">
        <v>0</v>
      </c>
      <c r="BO99" s="691">
        <v>0</v>
      </c>
      <c r="BP99" s="691">
        <v>0</v>
      </c>
      <c r="BQ99" s="691">
        <v>0</v>
      </c>
      <c r="BR99" s="691">
        <v>0</v>
      </c>
      <c r="BS99" s="691">
        <v>0</v>
      </c>
      <c r="BT99" s="692">
        <v>0</v>
      </c>
      <c r="BU99" s="163"/>
    </row>
    <row r="100" spans="2:73" ht="15.75" hidden="1" outlineLevel="1">
      <c r="B100" s="752" t="s">
        <v>750</v>
      </c>
      <c r="C100" s="752" t="s">
        <v>735</v>
      </c>
      <c r="D100" s="752" t="s">
        <v>22</v>
      </c>
      <c r="E100" s="752" t="s">
        <v>733</v>
      </c>
      <c r="F100" s="752" t="s">
        <v>738</v>
      </c>
      <c r="G100" s="752" t="s">
        <v>739</v>
      </c>
      <c r="H100" s="752">
        <v>2012</v>
      </c>
      <c r="I100" s="639" t="s">
        <v>570</v>
      </c>
      <c r="J100" s="639" t="s">
        <v>578</v>
      </c>
      <c r="K100" s="628"/>
      <c r="L100" s="690">
        <v>0</v>
      </c>
      <c r="M100" s="691">
        <v>41.92</v>
      </c>
      <c r="N100" s="691">
        <v>41.92</v>
      </c>
      <c r="O100" s="691">
        <v>41.92</v>
      </c>
      <c r="P100" s="691">
        <v>41.92</v>
      </c>
      <c r="Q100" s="691">
        <v>41.92</v>
      </c>
      <c r="R100" s="691">
        <v>41.92</v>
      </c>
      <c r="S100" s="691">
        <v>41.92</v>
      </c>
      <c r="T100" s="691">
        <v>41.92</v>
      </c>
      <c r="U100" s="691">
        <v>41.92</v>
      </c>
      <c r="V100" s="691">
        <v>41.92</v>
      </c>
      <c r="W100" s="691">
        <v>41.92</v>
      </c>
      <c r="X100" s="691">
        <v>41.92</v>
      </c>
      <c r="Y100" s="691">
        <v>10.72</v>
      </c>
      <c r="Z100" s="691">
        <v>10.72</v>
      </c>
      <c r="AA100" s="691">
        <v>10.72</v>
      </c>
      <c r="AB100" s="691">
        <v>7.99</v>
      </c>
      <c r="AC100" s="691">
        <v>0.31</v>
      </c>
      <c r="AD100" s="691">
        <v>0</v>
      </c>
      <c r="AE100" s="691">
        <v>0</v>
      </c>
      <c r="AF100" s="691">
        <v>0</v>
      </c>
      <c r="AG100" s="691">
        <v>0</v>
      </c>
      <c r="AH100" s="691">
        <v>0</v>
      </c>
      <c r="AI100" s="691">
        <v>0</v>
      </c>
      <c r="AJ100" s="691">
        <v>0</v>
      </c>
      <c r="AK100" s="691">
        <v>0</v>
      </c>
      <c r="AL100" s="691">
        <v>0</v>
      </c>
      <c r="AM100" s="691">
        <v>0</v>
      </c>
      <c r="AN100" s="691">
        <v>0</v>
      </c>
      <c r="AO100" s="692">
        <v>0</v>
      </c>
      <c r="AP100" s="628"/>
      <c r="AQ100" s="690">
        <v>0</v>
      </c>
      <c r="AR100" s="691">
        <v>256683</v>
      </c>
      <c r="AS100" s="691">
        <v>256683</v>
      </c>
      <c r="AT100" s="691">
        <v>256683</v>
      </c>
      <c r="AU100" s="691">
        <v>256683</v>
      </c>
      <c r="AV100" s="691">
        <v>256683</v>
      </c>
      <c r="AW100" s="691">
        <v>256683</v>
      </c>
      <c r="AX100" s="691">
        <v>256683</v>
      </c>
      <c r="AY100" s="691">
        <v>256683</v>
      </c>
      <c r="AZ100" s="691">
        <v>256683</v>
      </c>
      <c r="BA100" s="691">
        <v>256683</v>
      </c>
      <c r="BB100" s="691">
        <v>256683</v>
      </c>
      <c r="BC100" s="691">
        <v>256683</v>
      </c>
      <c r="BD100" s="691">
        <v>79667</v>
      </c>
      <c r="BE100" s="691">
        <v>79667</v>
      </c>
      <c r="BF100" s="691">
        <v>79667</v>
      </c>
      <c r="BG100" s="691">
        <v>58086</v>
      </c>
      <c r="BH100" s="691">
        <v>1076</v>
      </c>
      <c r="BI100" s="691">
        <v>0</v>
      </c>
      <c r="BJ100" s="691">
        <v>0</v>
      </c>
      <c r="BK100" s="691">
        <v>0</v>
      </c>
      <c r="BL100" s="691">
        <v>0</v>
      </c>
      <c r="BM100" s="691">
        <v>0</v>
      </c>
      <c r="BN100" s="691">
        <v>0</v>
      </c>
      <c r="BO100" s="691">
        <v>0</v>
      </c>
      <c r="BP100" s="691">
        <v>0</v>
      </c>
      <c r="BQ100" s="691">
        <v>0</v>
      </c>
      <c r="BR100" s="691">
        <v>0</v>
      </c>
      <c r="BS100" s="691">
        <v>0</v>
      </c>
      <c r="BT100" s="692">
        <v>0</v>
      </c>
      <c r="BU100" s="163"/>
    </row>
    <row r="101" spans="2:73" hidden="1" outlineLevel="1">
      <c r="B101" s="752" t="s">
        <v>208</v>
      </c>
      <c r="C101" s="752" t="s">
        <v>749</v>
      </c>
      <c r="D101" s="752" t="s">
        <v>14</v>
      </c>
      <c r="E101" s="752" t="s">
        <v>733</v>
      </c>
      <c r="F101" s="752" t="s">
        <v>29</v>
      </c>
      <c r="G101" s="752" t="s">
        <v>739</v>
      </c>
      <c r="H101" s="752">
        <v>2012</v>
      </c>
      <c r="I101" s="639" t="s">
        <v>570</v>
      </c>
      <c r="J101" s="639" t="s">
        <v>578</v>
      </c>
      <c r="K101" s="628"/>
      <c r="L101" s="690">
        <v>2</v>
      </c>
      <c r="M101" s="691">
        <v>1.5738455659999999</v>
      </c>
      <c r="N101" s="691">
        <v>1.5738455659999999</v>
      </c>
      <c r="O101" s="691">
        <v>1.5738455659999999</v>
      </c>
      <c r="P101" s="691">
        <v>1.5738455659999999</v>
      </c>
      <c r="Q101" s="691">
        <v>1.559956203</v>
      </c>
      <c r="R101" s="691">
        <v>1.553011524</v>
      </c>
      <c r="S101" s="691">
        <v>1.5460668440000001</v>
      </c>
      <c r="T101" s="691">
        <v>1.5460668440000001</v>
      </c>
      <c r="U101" s="691">
        <v>1.5460668440000001</v>
      </c>
      <c r="V101" s="691">
        <v>1.492445566</v>
      </c>
      <c r="W101" s="691">
        <v>1.492445566</v>
      </c>
      <c r="X101" s="691">
        <v>1.2922455669999999</v>
      </c>
      <c r="Y101" s="691">
        <v>1.2922455669999999</v>
      </c>
      <c r="Z101" s="691">
        <v>0.94674557400000003</v>
      </c>
      <c r="AA101" s="691">
        <v>0.94674557400000003</v>
      </c>
      <c r="AB101" s="691">
        <v>0.94674557400000003</v>
      </c>
      <c r="AC101" s="691">
        <v>0.94674557400000003</v>
      </c>
      <c r="AD101" s="691">
        <v>0.94674557400000003</v>
      </c>
      <c r="AE101" s="691">
        <v>0.94674557400000003</v>
      </c>
      <c r="AF101" s="691">
        <v>0.94674557400000003</v>
      </c>
      <c r="AG101" s="691">
        <v>0.94674557400000003</v>
      </c>
      <c r="AH101" s="691">
        <v>0</v>
      </c>
      <c r="AI101" s="691">
        <v>0</v>
      </c>
      <c r="AJ101" s="691">
        <v>0</v>
      </c>
      <c r="AK101" s="691">
        <v>0</v>
      </c>
      <c r="AL101" s="691">
        <v>0</v>
      </c>
      <c r="AM101" s="691">
        <v>0</v>
      </c>
      <c r="AN101" s="691">
        <v>0</v>
      </c>
      <c r="AO101" s="692">
        <v>0</v>
      </c>
      <c r="AP101" s="628"/>
      <c r="AQ101" s="690">
        <v>6755.7999879999998</v>
      </c>
      <c r="AR101" s="691">
        <v>6755.7999879999998</v>
      </c>
      <c r="AS101" s="691">
        <v>6755.7999879999998</v>
      </c>
      <c r="AT101" s="691">
        <v>6755.7999879999998</v>
      </c>
      <c r="AU101" s="691">
        <v>6755.7999879999998</v>
      </c>
      <c r="AV101" s="691">
        <v>6489.5871930000003</v>
      </c>
      <c r="AW101" s="691">
        <v>6356.4808730000004</v>
      </c>
      <c r="AX101" s="691">
        <v>6223.3744889999998</v>
      </c>
      <c r="AY101" s="691">
        <v>6223.3744889999998</v>
      </c>
      <c r="AZ101" s="691">
        <v>6223.3744889999998</v>
      </c>
      <c r="BA101" s="691">
        <v>5195.7999879999998</v>
      </c>
      <c r="BB101" s="691">
        <v>5195.7999879999998</v>
      </c>
      <c r="BC101" s="691">
        <v>3544.7999880000002</v>
      </c>
      <c r="BD101" s="691">
        <v>3544.7999880000002</v>
      </c>
      <c r="BE101" s="691">
        <v>2395.7999880000002</v>
      </c>
      <c r="BF101" s="691">
        <v>2395.7999880000002</v>
      </c>
      <c r="BG101" s="691">
        <v>2395.7999880000002</v>
      </c>
      <c r="BH101" s="691">
        <v>2395.7999880000002</v>
      </c>
      <c r="BI101" s="691">
        <v>2395.7999880000002</v>
      </c>
      <c r="BJ101" s="691">
        <v>2395.7999880000002</v>
      </c>
      <c r="BK101" s="691">
        <v>2395.7999880000002</v>
      </c>
      <c r="BL101" s="691">
        <v>2395.7999880000002</v>
      </c>
      <c r="BM101" s="691">
        <v>0</v>
      </c>
      <c r="BN101" s="691">
        <v>0</v>
      </c>
      <c r="BO101" s="691">
        <v>0</v>
      </c>
      <c r="BP101" s="691">
        <v>0</v>
      </c>
      <c r="BQ101" s="691">
        <v>0</v>
      </c>
      <c r="BR101" s="691">
        <v>0</v>
      </c>
      <c r="BS101" s="691">
        <v>0</v>
      </c>
      <c r="BT101" s="692">
        <v>0</v>
      </c>
    </row>
    <row r="102" spans="2:73" ht="15.75" hidden="1" outlineLevel="1">
      <c r="B102" s="752" t="s">
        <v>208</v>
      </c>
      <c r="C102" s="752" t="s">
        <v>731</v>
      </c>
      <c r="D102" s="752" t="s">
        <v>3</v>
      </c>
      <c r="E102" s="752" t="s">
        <v>733</v>
      </c>
      <c r="F102" s="752" t="s">
        <v>29</v>
      </c>
      <c r="G102" s="752" t="s">
        <v>739</v>
      </c>
      <c r="H102" s="752">
        <v>2012</v>
      </c>
      <c r="I102" s="639" t="s">
        <v>570</v>
      </c>
      <c r="J102" s="639" t="s">
        <v>578</v>
      </c>
      <c r="K102" s="628"/>
      <c r="L102" s="690">
        <v>0</v>
      </c>
      <c r="M102" s="691">
        <v>0.28444070599999999</v>
      </c>
      <c r="N102" s="691">
        <v>0.28444070599999999</v>
      </c>
      <c r="O102" s="691">
        <v>0.28444070599999999</v>
      </c>
      <c r="P102" s="691">
        <v>0.28444070599999999</v>
      </c>
      <c r="Q102" s="691">
        <v>0.28444070599999999</v>
      </c>
      <c r="R102" s="691">
        <v>0.28444070599999999</v>
      </c>
      <c r="S102" s="691">
        <v>0.28444070599999999</v>
      </c>
      <c r="T102" s="691">
        <v>0.28444070599999999</v>
      </c>
      <c r="U102" s="691">
        <v>0.28444070599999999</v>
      </c>
      <c r="V102" s="691">
        <v>0.28444070599999999</v>
      </c>
      <c r="W102" s="691">
        <v>0.28444070599999999</v>
      </c>
      <c r="X102" s="691">
        <v>0.28444070599999999</v>
      </c>
      <c r="Y102" s="691">
        <v>0.28444070599999999</v>
      </c>
      <c r="Z102" s="691">
        <v>0.28444070599999999</v>
      </c>
      <c r="AA102" s="691">
        <v>0.28444070599999999</v>
      </c>
      <c r="AB102" s="691">
        <v>0.28444070599999999</v>
      </c>
      <c r="AC102" s="691">
        <v>0.28444070599999999</v>
      </c>
      <c r="AD102" s="691">
        <v>0.28444070599999999</v>
      </c>
      <c r="AE102" s="691">
        <v>0.28444070599999999</v>
      </c>
      <c r="AF102" s="691">
        <v>0</v>
      </c>
      <c r="AG102" s="691">
        <v>0</v>
      </c>
      <c r="AH102" s="691">
        <v>0</v>
      </c>
      <c r="AI102" s="691">
        <v>0</v>
      </c>
      <c r="AJ102" s="691">
        <v>0</v>
      </c>
      <c r="AK102" s="691">
        <v>0</v>
      </c>
      <c r="AL102" s="691">
        <v>0</v>
      </c>
      <c r="AM102" s="691">
        <v>0</v>
      </c>
      <c r="AN102" s="691">
        <v>0</v>
      </c>
      <c r="AO102" s="692">
        <v>0</v>
      </c>
      <c r="AP102" s="628"/>
      <c r="AQ102" s="690">
        <v>0</v>
      </c>
      <c r="AR102" s="691">
        <v>551.2573926</v>
      </c>
      <c r="AS102" s="691">
        <v>551.2573926</v>
      </c>
      <c r="AT102" s="691">
        <v>551.2573926</v>
      </c>
      <c r="AU102" s="691">
        <v>551.2573926</v>
      </c>
      <c r="AV102" s="691">
        <v>551.2573926</v>
      </c>
      <c r="AW102" s="691">
        <v>551.2573926</v>
      </c>
      <c r="AX102" s="691">
        <v>551.2573926</v>
      </c>
      <c r="AY102" s="691">
        <v>551.2573926</v>
      </c>
      <c r="AZ102" s="691">
        <v>551.2573926</v>
      </c>
      <c r="BA102" s="691">
        <v>551.2573926</v>
      </c>
      <c r="BB102" s="691">
        <v>551.2573926</v>
      </c>
      <c r="BC102" s="691">
        <v>551.2573926</v>
      </c>
      <c r="BD102" s="691">
        <v>551.2573926</v>
      </c>
      <c r="BE102" s="691">
        <v>551.2573926</v>
      </c>
      <c r="BF102" s="691">
        <v>551.2573926</v>
      </c>
      <c r="BG102" s="691">
        <v>551.2573926</v>
      </c>
      <c r="BH102" s="691">
        <v>551.2573926</v>
      </c>
      <c r="BI102" s="691">
        <v>551.2573926</v>
      </c>
      <c r="BJ102" s="691">
        <v>551.2573926</v>
      </c>
      <c r="BK102" s="691">
        <v>0</v>
      </c>
      <c r="BL102" s="691">
        <v>0</v>
      </c>
      <c r="BM102" s="691">
        <v>0</v>
      </c>
      <c r="BN102" s="691">
        <v>0</v>
      </c>
      <c r="BO102" s="691">
        <v>0</v>
      </c>
      <c r="BP102" s="691">
        <v>0</v>
      </c>
      <c r="BQ102" s="691">
        <v>0</v>
      </c>
      <c r="BR102" s="691">
        <v>0</v>
      </c>
      <c r="BS102" s="691">
        <v>0</v>
      </c>
      <c r="BT102" s="692">
        <v>0</v>
      </c>
      <c r="BU102" s="163"/>
    </row>
    <row r="103" spans="2:73" ht="15.75" hidden="1" outlineLevel="1">
      <c r="B103" s="752" t="s">
        <v>208</v>
      </c>
      <c r="C103" s="752" t="s">
        <v>744</v>
      </c>
      <c r="D103" s="752" t="s">
        <v>752</v>
      </c>
      <c r="E103" s="752" t="s">
        <v>733</v>
      </c>
      <c r="F103" s="752" t="s">
        <v>744</v>
      </c>
      <c r="G103" s="752" t="s">
        <v>739</v>
      </c>
      <c r="H103" s="752">
        <v>2012</v>
      </c>
      <c r="I103" s="639" t="s">
        <v>570</v>
      </c>
      <c r="J103" s="639" t="s">
        <v>578</v>
      </c>
      <c r="K103" s="628"/>
      <c r="L103" s="690">
        <v>0</v>
      </c>
      <c r="M103" s="691">
        <v>0</v>
      </c>
      <c r="N103" s="691">
        <v>0</v>
      </c>
      <c r="O103" s="691">
        <v>0</v>
      </c>
      <c r="P103" s="691">
        <v>0</v>
      </c>
      <c r="Q103" s="691">
        <v>0</v>
      </c>
      <c r="R103" s="691">
        <v>0</v>
      </c>
      <c r="S103" s="691">
        <v>0</v>
      </c>
      <c r="T103" s="691">
        <v>0</v>
      </c>
      <c r="U103" s="691">
        <v>0</v>
      </c>
      <c r="V103" s="691">
        <v>0</v>
      </c>
      <c r="W103" s="691">
        <v>0</v>
      </c>
      <c r="X103" s="691">
        <v>0</v>
      </c>
      <c r="Y103" s="691">
        <v>0</v>
      </c>
      <c r="Z103" s="691">
        <v>0</v>
      </c>
      <c r="AA103" s="691">
        <v>0</v>
      </c>
      <c r="AB103" s="691">
        <v>0</v>
      </c>
      <c r="AC103" s="691">
        <v>0</v>
      </c>
      <c r="AD103" s="691">
        <v>0</v>
      </c>
      <c r="AE103" s="691">
        <v>0</v>
      </c>
      <c r="AF103" s="691">
        <v>0</v>
      </c>
      <c r="AG103" s="691">
        <v>0</v>
      </c>
      <c r="AH103" s="691">
        <v>0</v>
      </c>
      <c r="AI103" s="691">
        <v>0</v>
      </c>
      <c r="AJ103" s="691">
        <v>0</v>
      </c>
      <c r="AK103" s="691">
        <v>0</v>
      </c>
      <c r="AL103" s="691">
        <v>0</v>
      </c>
      <c r="AM103" s="691">
        <v>0</v>
      </c>
      <c r="AN103" s="691">
        <v>0</v>
      </c>
      <c r="AO103" s="692">
        <v>0</v>
      </c>
      <c r="AP103" s="628"/>
      <c r="AQ103" s="690">
        <v>0</v>
      </c>
      <c r="AR103" s="691">
        <v>0</v>
      </c>
      <c r="AS103" s="691">
        <v>0</v>
      </c>
      <c r="AT103" s="691">
        <v>0</v>
      </c>
      <c r="AU103" s="691">
        <v>0</v>
      </c>
      <c r="AV103" s="691">
        <v>0</v>
      </c>
      <c r="AW103" s="691">
        <v>0</v>
      </c>
      <c r="AX103" s="691">
        <v>0</v>
      </c>
      <c r="AY103" s="691">
        <v>0</v>
      </c>
      <c r="AZ103" s="691">
        <v>0</v>
      </c>
      <c r="BA103" s="691">
        <v>0</v>
      </c>
      <c r="BB103" s="691">
        <v>0</v>
      </c>
      <c r="BC103" s="691">
        <v>0</v>
      </c>
      <c r="BD103" s="691">
        <v>0</v>
      </c>
      <c r="BE103" s="691">
        <v>0</v>
      </c>
      <c r="BF103" s="691">
        <v>0</v>
      </c>
      <c r="BG103" s="691">
        <v>0</v>
      </c>
      <c r="BH103" s="691">
        <v>0</v>
      </c>
      <c r="BI103" s="691">
        <v>0</v>
      </c>
      <c r="BJ103" s="691">
        <v>0</v>
      </c>
      <c r="BK103" s="691">
        <v>0</v>
      </c>
      <c r="BL103" s="691">
        <v>0</v>
      </c>
      <c r="BM103" s="691">
        <v>0</v>
      </c>
      <c r="BN103" s="691">
        <v>0</v>
      </c>
      <c r="BO103" s="691">
        <v>0</v>
      </c>
      <c r="BP103" s="691">
        <v>0</v>
      </c>
      <c r="BQ103" s="691">
        <v>0</v>
      </c>
      <c r="BR103" s="691">
        <v>0</v>
      </c>
      <c r="BS103" s="691">
        <v>0</v>
      </c>
      <c r="BT103" s="692">
        <v>0</v>
      </c>
      <c r="BU103" s="163"/>
    </row>
    <row r="104" spans="2:73" ht="15.75" hidden="1" outlineLevel="1">
      <c r="B104" s="752" t="s">
        <v>208</v>
      </c>
      <c r="C104" s="752" t="s">
        <v>735</v>
      </c>
      <c r="D104" s="752" t="s">
        <v>751</v>
      </c>
      <c r="E104" s="752" t="s">
        <v>733</v>
      </c>
      <c r="F104" s="752" t="s">
        <v>736</v>
      </c>
      <c r="G104" s="752" t="s">
        <v>739</v>
      </c>
      <c r="H104" s="752">
        <v>2013</v>
      </c>
      <c r="I104" s="639" t="s">
        <v>569</v>
      </c>
      <c r="J104" s="639" t="s">
        <v>585</v>
      </c>
      <c r="K104" s="628"/>
      <c r="L104" s="690">
        <v>0</v>
      </c>
      <c r="M104" s="691">
        <v>0</v>
      </c>
      <c r="N104" s="691">
        <v>35.250706491000003</v>
      </c>
      <c r="O104" s="691">
        <v>35.250706491000003</v>
      </c>
      <c r="P104" s="691">
        <v>35.250706491000003</v>
      </c>
      <c r="Q104" s="691">
        <v>35.250706491000003</v>
      </c>
      <c r="R104" s="691">
        <v>0</v>
      </c>
      <c r="S104" s="691">
        <v>0</v>
      </c>
      <c r="T104" s="691">
        <v>0</v>
      </c>
      <c r="U104" s="691">
        <v>0</v>
      </c>
      <c r="V104" s="691">
        <v>0</v>
      </c>
      <c r="W104" s="691">
        <v>0</v>
      </c>
      <c r="X104" s="691">
        <v>0</v>
      </c>
      <c r="Y104" s="691">
        <v>0</v>
      </c>
      <c r="Z104" s="691">
        <v>0</v>
      </c>
      <c r="AA104" s="691">
        <v>0</v>
      </c>
      <c r="AB104" s="691">
        <v>0</v>
      </c>
      <c r="AC104" s="691">
        <v>0</v>
      </c>
      <c r="AD104" s="691">
        <v>0</v>
      </c>
      <c r="AE104" s="691">
        <v>0</v>
      </c>
      <c r="AF104" s="691">
        <v>0</v>
      </c>
      <c r="AG104" s="691">
        <v>0</v>
      </c>
      <c r="AH104" s="691">
        <v>0</v>
      </c>
      <c r="AI104" s="691">
        <v>0</v>
      </c>
      <c r="AJ104" s="691">
        <v>0</v>
      </c>
      <c r="AK104" s="691">
        <v>0</v>
      </c>
      <c r="AL104" s="691">
        <v>0</v>
      </c>
      <c r="AM104" s="691">
        <v>0</v>
      </c>
      <c r="AN104" s="691">
        <v>0</v>
      </c>
      <c r="AO104" s="692">
        <v>0</v>
      </c>
      <c r="AP104" s="628"/>
      <c r="AQ104" s="690">
        <v>0</v>
      </c>
      <c r="AR104" s="691">
        <v>0</v>
      </c>
      <c r="AS104" s="691">
        <v>193803.07118789799</v>
      </c>
      <c r="AT104" s="691">
        <v>193803.07118789799</v>
      </c>
      <c r="AU104" s="691">
        <v>193803.07118789799</v>
      </c>
      <c r="AV104" s="691">
        <v>193803.07118789799</v>
      </c>
      <c r="AW104" s="691">
        <v>0</v>
      </c>
      <c r="AX104" s="691">
        <v>0</v>
      </c>
      <c r="AY104" s="691">
        <v>0</v>
      </c>
      <c r="AZ104" s="691">
        <v>0</v>
      </c>
      <c r="BA104" s="691">
        <v>0</v>
      </c>
      <c r="BB104" s="691">
        <v>0</v>
      </c>
      <c r="BC104" s="691">
        <v>0</v>
      </c>
      <c r="BD104" s="691">
        <v>0</v>
      </c>
      <c r="BE104" s="691">
        <v>0</v>
      </c>
      <c r="BF104" s="691">
        <v>0</v>
      </c>
      <c r="BG104" s="691">
        <v>0</v>
      </c>
      <c r="BH104" s="691">
        <v>0</v>
      </c>
      <c r="BI104" s="691">
        <v>0</v>
      </c>
      <c r="BJ104" s="691">
        <v>0</v>
      </c>
      <c r="BK104" s="691">
        <v>0</v>
      </c>
      <c r="BL104" s="691">
        <v>0</v>
      </c>
      <c r="BM104" s="691">
        <v>0</v>
      </c>
      <c r="BN104" s="691">
        <v>0</v>
      </c>
      <c r="BO104" s="691">
        <v>0</v>
      </c>
      <c r="BP104" s="691">
        <v>0</v>
      </c>
      <c r="BQ104" s="691">
        <v>0</v>
      </c>
      <c r="BR104" s="691">
        <v>0</v>
      </c>
      <c r="BS104" s="691">
        <v>0</v>
      </c>
      <c r="BT104" s="692">
        <v>0</v>
      </c>
      <c r="BU104" s="163"/>
    </row>
    <row r="105" spans="2:73" ht="15.75" hidden="1" outlineLevel="1">
      <c r="B105" s="752" t="s">
        <v>208</v>
      </c>
      <c r="C105" s="752" t="s">
        <v>735</v>
      </c>
      <c r="D105" s="752" t="s">
        <v>753</v>
      </c>
      <c r="E105" s="752" t="s">
        <v>733</v>
      </c>
      <c r="F105" s="752" t="s">
        <v>736</v>
      </c>
      <c r="G105" s="752" t="s">
        <v>734</v>
      </c>
      <c r="H105" s="752">
        <v>2013</v>
      </c>
      <c r="I105" s="639" t="s">
        <v>569</v>
      </c>
      <c r="J105" s="639" t="s">
        <v>585</v>
      </c>
      <c r="K105" s="628"/>
      <c r="L105" s="690">
        <v>0</v>
      </c>
      <c r="M105" s="691">
        <v>0</v>
      </c>
      <c r="N105" s="691">
        <v>513.3913</v>
      </c>
      <c r="O105" s="691">
        <v>0</v>
      </c>
      <c r="P105" s="691">
        <v>0</v>
      </c>
      <c r="Q105" s="691">
        <v>0</v>
      </c>
      <c r="R105" s="691">
        <v>0</v>
      </c>
      <c r="S105" s="691">
        <v>0</v>
      </c>
      <c r="T105" s="691">
        <v>0</v>
      </c>
      <c r="U105" s="691">
        <v>0</v>
      </c>
      <c r="V105" s="691">
        <v>0</v>
      </c>
      <c r="W105" s="691">
        <v>0</v>
      </c>
      <c r="X105" s="691">
        <v>0</v>
      </c>
      <c r="Y105" s="691">
        <v>0</v>
      </c>
      <c r="Z105" s="691">
        <v>0</v>
      </c>
      <c r="AA105" s="691">
        <v>0</v>
      </c>
      <c r="AB105" s="691">
        <v>0</v>
      </c>
      <c r="AC105" s="691">
        <v>0</v>
      </c>
      <c r="AD105" s="691">
        <v>0</v>
      </c>
      <c r="AE105" s="691">
        <v>0</v>
      </c>
      <c r="AF105" s="691">
        <v>0</v>
      </c>
      <c r="AG105" s="691">
        <v>0</v>
      </c>
      <c r="AH105" s="691">
        <v>0</v>
      </c>
      <c r="AI105" s="691">
        <v>0</v>
      </c>
      <c r="AJ105" s="691">
        <v>0</v>
      </c>
      <c r="AK105" s="691">
        <v>0</v>
      </c>
      <c r="AL105" s="691">
        <v>0</v>
      </c>
      <c r="AM105" s="691">
        <v>0</v>
      </c>
      <c r="AN105" s="691">
        <v>0</v>
      </c>
      <c r="AO105" s="692">
        <v>0</v>
      </c>
      <c r="AP105" s="628"/>
      <c r="AQ105" s="690">
        <v>0</v>
      </c>
      <c r="AR105" s="691">
        <v>0</v>
      </c>
      <c r="AS105" s="691">
        <v>7326.3860000000004</v>
      </c>
      <c r="AT105" s="691">
        <v>0</v>
      </c>
      <c r="AU105" s="691">
        <v>0</v>
      </c>
      <c r="AV105" s="691">
        <v>0</v>
      </c>
      <c r="AW105" s="691">
        <v>0</v>
      </c>
      <c r="AX105" s="691">
        <v>0</v>
      </c>
      <c r="AY105" s="691">
        <v>0</v>
      </c>
      <c r="AZ105" s="691">
        <v>0</v>
      </c>
      <c r="BA105" s="691">
        <v>0</v>
      </c>
      <c r="BB105" s="691">
        <v>0</v>
      </c>
      <c r="BC105" s="691">
        <v>0</v>
      </c>
      <c r="BD105" s="691">
        <v>0</v>
      </c>
      <c r="BE105" s="691">
        <v>0</v>
      </c>
      <c r="BF105" s="691">
        <v>0</v>
      </c>
      <c r="BG105" s="691">
        <v>0</v>
      </c>
      <c r="BH105" s="691">
        <v>0</v>
      </c>
      <c r="BI105" s="691">
        <v>0</v>
      </c>
      <c r="BJ105" s="691">
        <v>0</v>
      </c>
      <c r="BK105" s="691">
        <v>0</v>
      </c>
      <c r="BL105" s="691">
        <v>0</v>
      </c>
      <c r="BM105" s="691">
        <v>0</v>
      </c>
      <c r="BN105" s="691">
        <v>0</v>
      </c>
      <c r="BO105" s="691">
        <v>0</v>
      </c>
      <c r="BP105" s="691">
        <v>0</v>
      </c>
      <c r="BQ105" s="691">
        <v>0</v>
      </c>
      <c r="BR105" s="691">
        <v>0</v>
      </c>
      <c r="BS105" s="691">
        <v>0</v>
      </c>
      <c r="BT105" s="692">
        <v>0</v>
      </c>
      <c r="BU105" s="163"/>
    </row>
    <row r="106" spans="2:73" ht="15.75" hidden="1" outlineLevel="1">
      <c r="B106" s="752" t="s">
        <v>208</v>
      </c>
      <c r="C106" s="752" t="s">
        <v>735</v>
      </c>
      <c r="D106" s="752" t="s">
        <v>24</v>
      </c>
      <c r="E106" s="752" t="s">
        <v>733</v>
      </c>
      <c r="F106" s="752" t="s">
        <v>736</v>
      </c>
      <c r="G106" s="752" t="s">
        <v>739</v>
      </c>
      <c r="H106" s="752">
        <v>2013</v>
      </c>
      <c r="I106" s="639" t="s">
        <v>569</v>
      </c>
      <c r="J106" s="639" t="s">
        <v>585</v>
      </c>
      <c r="K106" s="628"/>
      <c r="L106" s="690">
        <v>0</v>
      </c>
      <c r="M106" s="691">
        <v>0</v>
      </c>
      <c r="N106" s="691">
        <v>1.379108561</v>
      </c>
      <c r="O106" s="691">
        <v>1.379108561</v>
      </c>
      <c r="P106" s="691">
        <v>1.379108561</v>
      </c>
      <c r="Q106" s="691">
        <v>1.379108561</v>
      </c>
      <c r="R106" s="691">
        <v>1.379108561</v>
      </c>
      <c r="S106" s="691">
        <v>1.379108561</v>
      </c>
      <c r="T106" s="691">
        <v>1.379108561</v>
      </c>
      <c r="U106" s="691">
        <v>1.379108561</v>
      </c>
      <c r="V106" s="691">
        <v>1.379108561</v>
      </c>
      <c r="W106" s="691">
        <v>1.379108561</v>
      </c>
      <c r="X106" s="691">
        <v>1.379108561</v>
      </c>
      <c r="Y106" s="691">
        <v>1.379108561</v>
      </c>
      <c r="Z106" s="691">
        <v>1.379108561</v>
      </c>
      <c r="AA106" s="691">
        <v>1.379108561</v>
      </c>
      <c r="AB106" s="691">
        <v>1.379108561</v>
      </c>
      <c r="AC106" s="691">
        <v>1.379108561</v>
      </c>
      <c r="AD106" s="691">
        <v>1.379108561</v>
      </c>
      <c r="AE106" s="691">
        <v>0</v>
      </c>
      <c r="AF106" s="691">
        <v>0</v>
      </c>
      <c r="AG106" s="691">
        <v>0</v>
      </c>
      <c r="AH106" s="691">
        <v>0</v>
      </c>
      <c r="AI106" s="691">
        <v>0</v>
      </c>
      <c r="AJ106" s="691">
        <v>0</v>
      </c>
      <c r="AK106" s="691">
        <v>0</v>
      </c>
      <c r="AL106" s="691">
        <v>0</v>
      </c>
      <c r="AM106" s="691">
        <v>0</v>
      </c>
      <c r="AN106" s="691">
        <v>0</v>
      </c>
      <c r="AO106" s="692">
        <v>0</v>
      </c>
      <c r="AP106" s="628"/>
      <c r="AQ106" s="690">
        <v>0</v>
      </c>
      <c r="AR106" s="691">
        <v>0</v>
      </c>
      <c r="AS106" s="691">
        <v>10485.504000000001</v>
      </c>
      <c r="AT106" s="691">
        <v>10485.504000000001</v>
      </c>
      <c r="AU106" s="691">
        <v>10485.504000000001</v>
      </c>
      <c r="AV106" s="691">
        <v>10485.504000000001</v>
      </c>
      <c r="AW106" s="691">
        <v>10485.504000000001</v>
      </c>
      <c r="AX106" s="691">
        <v>10485.504000000001</v>
      </c>
      <c r="AY106" s="691">
        <v>10485.504000000001</v>
      </c>
      <c r="AZ106" s="691">
        <v>10485.504000000001</v>
      </c>
      <c r="BA106" s="691">
        <v>10485.504000000001</v>
      </c>
      <c r="BB106" s="691">
        <v>10485.504000000001</v>
      </c>
      <c r="BC106" s="691">
        <v>10485.504000000001</v>
      </c>
      <c r="BD106" s="691">
        <v>10485.504000000001</v>
      </c>
      <c r="BE106" s="691">
        <v>10485.504000000001</v>
      </c>
      <c r="BF106" s="691">
        <v>10485.504000000001</v>
      </c>
      <c r="BG106" s="691">
        <v>10485.504000000001</v>
      </c>
      <c r="BH106" s="691">
        <v>10485.504000000001</v>
      </c>
      <c r="BI106" s="691">
        <v>10485.504000000001</v>
      </c>
      <c r="BJ106" s="691">
        <v>0</v>
      </c>
      <c r="BK106" s="691">
        <v>0</v>
      </c>
      <c r="BL106" s="691">
        <v>0</v>
      </c>
      <c r="BM106" s="691">
        <v>0</v>
      </c>
      <c r="BN106" s="691">
        <v>0</v>
      </c>
      <c r="BO106" s="691">
        <v>0</v>
      </c>
      <c r="BP106" s="691">
        <v>0</v>
      </c>
      <c r="BQ106" s="691">
        <v>0</v>
      </c>
      <c r="BR106" s="691">
        <v>0</v>
      </c>
      <c r="BS106" s="691">
        <v>0</v>
      </c>
      <c r="BT106" s="692">
        <v>0</v>
      </c>
      <c r="BU106" s="163"/>
    </row>
    <row r="107" spans="2:73" ht="15.75" hidden="1" outlineLevel="1">
      <c r="B107" s="752" t="s">
        <v>208</v>
      </c>
      <c r="C107" s="752" t="s">
        <v>735</v>
      </c>
      <c r="D107" s="752" t="s">
        <v>732</v>
      </c>
      <c r="E107" s="752" t="s">
        <v>733</v>
      </c>
      <c r="F107" s="752" t="s">
        <v>736</v>
      </c>
      <c r="G107" s="752" t="s">
        <v>734</v>
      </c>
      <c r="H107" s="752">
        <v>2013</v>
      </c>
      <c r="I107" s="639" t="s">
        <v>569</v>
      </c>
      <c r="J107" s="639" t="s">
        <v>585</v>
      </c>
      <c r="K107" s="628"/>
      <c r="L107" s="690">
        <v>0</v>
      </c>
      <c r="M107" s="691">
        <v>0</v>
      </c>
      <c r="N107" s="691">
        <v>14.08</v>
      </c>
      <c r="O107" s="691">
        <v>0</v>
      </c>
      <c r="P107" s="691">
        <v>0</v>
      </c>
      <c r="Q107" s="691">
        <v>0</v>
      </c>
      <c r="R107" s="691">
        <v>0</v>
      </c>
      <c r="S107" s="691">
        <v>0</v>
      </c>
      <c r="T107" s="691">
        <v>0</v>
      </c>
      <c r="U107" s="691">
        <v>0</v>
      </c>
      <c r="V107" s="691">
        <v>0</v>
      </c>
      <c r="W107" s="691">
        <v>0</v>
      </c>
      <c r="X107" s="691">
        <v>0</v>
      </c>
      <c r="Y107" s="691">
        <v>0</v>
      </c>
      <c r="Z107" s="691">
        <v>0</v>
      </c>
      <c r="AA107" s="691">
        <v>0</v>
      </c>
      <c r="AB107" s="691">
        <v>0</v>
      </c>
      <c r="AC107" s="691">
        <v>0</v>
      </c>
      <c r="AD107" s="691">
        <v>0</v>
      </c>
      <c r="AE107" s="691">
        <v>0</v>
      </c>
      <c r="AF107" s="691">
        <v>0</v>
      </c>
      <c r="AG107" s="691">
        <v>0</v>
      </c>
      <c r="AH107" s="691">
        <v>0</v>
      </c>
      <c r="AI107" s="691">
        <v>0</v>
      </c>
      <c r="AJ107" s="691">
        <v>0</v>
      </c>
      <c r="AK107" s="691">
        <v>0</v>
      </c>
      <c r="AL107" s="691">
        <v>0</v>
      </c>
      <c r="AM107" s="691">
        <v>0</v>
      </c>
      <c r="AN107" s="691">
        <v>0</v>
      </c>
      <c r="AO107" s="692">
        <v>0</v>
      </c>
      <c r="AP107" s="628"/>
      <c r="AQ107" s="693">
        <v>0</v>
      </c>
      <c r="AR107" s="694">
        <v>0</v>
      </c>
      <c r="AS107" s="694">
        <v>0</v>
      </c>
      <c r="AT107" s="694">
        <v>0</v>
      </c>
      <c r="AU107" s="694">
        <v>0</v>
      </c>
      <c r="AV107" s="694">
        <v>0</v>
      </c>
      <c r="AW107" s="694">
        <v>0</v>
      </c>
      <c r="AX107" s="694">
        <v>0</v>
      </c>
      <c r="AY107" s="694">
        <v>0</v>
      </c>
      <c r="AZ107" s="694">
        <v>0</v>
      </c>
      <c r="BA107" s="694">
        <v>0</v>
      </c>
      <c r="BB107" s="694">
        <v>0</v>
      </c>
      <c r="BC107" s="694">
        <v>0</v>
      </c>
      <c r="BD107" s="694">
        <v>0</v>
      </c>
      <c r="BE107" s="694">
        <v>0</v>
      </c>
      <c r="BF107" s="694">
        <v>0</v>
      </c>
      <c r="BG107" s="694">
        <v>0</v>
      </c>
      <c r="BH107" s="694">
        <v>0</v>
      </c>
      <c r="BI107" s="694">
        <v>0</v>
      </c>
      <c r="BJ107" s="694">
        <v>0</v>
      </c>
      <c r="BK107" s="694">
        <v>0</v>
      </c>
      <c r="BL107" s="694">
        <v>0</v>
      </c>
      <c r="BM107" s="694">
        <v>0</v>
      </c>
      <c r="BN107" s="694">
        <v>0</v>
      </c>
      <c r="BO107" s="694">
        <v>0</v>
      </c>
      <c r="BP107" s="694">
        <v>0</v>
      </c>
      <c r="BQ107" s="694">
        <v>0</v>
      </c>
      <c r="BR107" s="694">
        <v>0</v>
      </c>
      <c r="BS107" s="694">
        <v>0</v>
      </c>
      <c r="BT107" s="695">
        <v>0</v>
      </c>
      <c r="BU107" s="163"/>
    </row>
    <row r="108" spans="2:73" ht="15.75" hidden="1" outlineLevel="1">
      <c r="B108" s="752" t="s">
        <v>208</v>
      </c>
      <c r="C108" s="752" t="s">
        <v>735</v>
      </c>
      <c r="D108" s="752" t="s">
        <v>754</v>
      </c>
      <c r="E108" s="752" t="s">
        <v>733</v>
      </c>
      <c r="F108" s="752" t="s">
        <v>736</v>
      </c>
      <c r="G108" s="752" t="s">
        <v>734</v>
      </c>
      <c r="H108" s="752">
        <v>2013</v>
      </c>
      <c r="I108" s="639" t="s">
        <v>569</v>
      </c>
      <c r="J108" s="639" t="s">
        <v>585</v>
      </c>
      <c r="K108" s="628"/>
      <c r="L108" s="690">
        <v>0</v>
      </c>
      <c r="M108" s="691">
        <v>0</v>
      </c>
      <c r="N108" s="691">
        <v>0</v>
      </c>
      <c r="O108" s="691">
        <v>0</v>
      </c>
      <c r="P108" s="691">
        <v>0</v>
      </c>
      <c r="Q108" s="691">
        <v>0</v>
      </c>
      <c r="R108" s="691">
        <v>0</v>
      </c>
      <c r="S108" s="691">
        <v>0</v>
      </c>
      <c r="T108" s="691">
        <v>0</v>
      </c>
      <c r="U108" s="691">
        <v>0</v>
      </c>
      <c r="V108" s="691">
        <v>0</v>
      </c>
      <c r="W108" s="691">
        <v>0</v>
      </c>
      <c r="X108" s="691">
        <v>0</v>
      </c>
      <c r="Y108" s="691">
        <v>0</v>
      </c>
      <c r="Z108" s="691">
        <v>0</v>
      </c>
      <c r="AA108" s="691">
        <v>0</v>
      </c>
      <c r="AB108" s="691">
        <v>0</v>
      </c>
      <c r="AC108" s="691">
        <v>0</v>
      </c>
      <c r="AD108" s="691">
        <v>0</v>
      </c>
      <c r="AE108" s="691">
        <v>0</v>
      </c>
      <c r="AF108" s="691">
        <v>0</v>
      </c>
      <c r="AG108" s="691">
        <v>0</v>
      </c>
      <c r="AH108" s="691">
        <v>0</v>
      </c>
      <c r="AI108" s="691">
        <v>0</v>
      </c>
      <c r="AJ108" s="691">
        <v>0</v>
      </c>
      <c r="AK108" s="691">
        <v>0</v>
      </c>
      <c r="AL108" s="691">
        <v>0</v>
      </c>
      <c r="AM108" s="691">
        <v>0</v>
      </c>
      <c r="AN108" s="691">
        <v>0</v>
      </c>
      <c r="AO108" s="692">
        <v>0</v>
      </c>
      <c r="AP108" s="628"/>
      <c r="AQ108" s="687">
        <v>0</v>
      </c>
      <c r="AR108" s="688">
        <v>0</v>
      </c>
      <c r="AS108" s="688">
        <v>0</v>
      </c>
      <c r="AT108" s="688">
        <v>0</v>
      </c>
      <c r="AU108" s="688">
        <v>0</v>
      </c>
      <c r="AV108" s="688">
        <v>0</v>
      </c>
      <c r="AW108" s="688">
        <v>0</v>
      </c>
      <c r="AX108" s="688">
        <v>0</v>
      </c>
      <c r="AY108" s="688">
        <v>0</v>
      </c>
      <c r="AZ108" s="688">
        <v>0</v>
      </c>
      <c r="BA108" s="688">
        <v>0</v>
      </c>
      <c r="BB108" s="688">
        <v>0</v>
      </c>
      <c r="BC108" s="688">
        <v>0</v>
      </c>
      <c r="BD108" s="688">
        <v>0</v>
      </c>
      <c r="BE108" s="688">
        <v>0</v>
      </c>
      <c r="BF108" s="688">
        <v>0</v>
      </c>
      <c r="BG108" s="688">
        <v>0</v>
      </c>
      <c r="BH108" s="688">
        <v>0</v>
      </c>
      <c r="BI108" s="688">
        <v>0</v>
      </c>
      <c r="BJ108" s="688">
        <v>0</v>
      </c>
      <c r="BK108" s="688">
        <v>0</v>
      </c>
      <c r="BL108" s="688">
        <v>0</v>
      </c>
      <c r="BM108" s="688">
        <v>0</v>
      </c>
      <c r="BN108" s="688">
        <v>0</v>
      </c>
      <c r="BO108" s="688">
        <v>0</v>
      </c>
      <c r="BP108" s="688">
        <v>0</v>
      </c>
      <c r="BQ108" s="688">
        <v>0</v>
      </c>
      <c r="BR108" s="688">
        <v>0</v>
      </c>
      <c r="BS108" s="688">
        <v>0</v>
      </c>
      <c r="BT108" s="689">
        <v>0</v>
      </c>
      <c r="BU108" s="163"/>
    </row>
    <row r="109" spans="2:73" ht="15.75" hidden="1" outlineLevel="1">
      <c r="B109" s="752" t="s">
        <v>208</v>
      </c>
      <c r="C109" s="752" t="s">
        <v>735</v>
      </c>
      <c r="D109" s="752" t="s">
        <v>22</v>
      </c>
      <c r="E109" s="752" t="s">
        <v>733</v>
      </c>
      <c r="F109" s="752" t="s">
        <v>736</v>
      </c>
      <c r="G109" s="752" t="s">
        <v>739</v>
      </c>
      <c r="H109" s="752">
        <v>2013</v>
      </c>
      <c r="I109" s="639" t="s">
        <v>569</v>
      </c>
      <c r="J109" s="639" t="s">
        <v>585</v>
      </c>
      <c r="K109" s="628"/>
      <c r="L109" s="690">
        <v>0</v>
      </c>
      <c r="M109" s="691">
        <v>0</v>
      </c>
      <c r="N109" s="691">
        <v>1007.6289563359999</v>
      </c>
      <c r="O109" s="691">
        <v>1003.1585377609999</v>
      </c>
      <c r="P109" s="691">
        <v>1003.1585377609999</v>
      </c>
      <c r="Q109" s="691">
        <v>995.76488100500001</v>
      </c>
      <c r="R109" s="691">
        <v>941.77068053799997</v>
      </c>
      <c r="S109" s="691">
        <v>926.78715792499997</v>
      </c>
      <c r="T109" s="691">
        <v>926.78715792499997</v>
      </c>
      <c r="U109" s="691">
        <v>926.60604586900001</v>
      </c>
      <c r="V109" s="691">
        <v>893.39123133199996</v>
      </c>
      <c r="W109" s="691">
        <v>790.34778714900006</v>
      </c>
      <c r="X109" s="691">
        <v>665.54953835000003</v>
      </c>
      <c r="Y109" s="691">
        <v>664.04785442900004</v>
      </c>
      <c r="Z109" s="691">
        <v>348.64507239400001</v>
      </c>
      <c r="AA109" s="691">
        <v>318.14869241299999</v>
      </c>
      <c r="AB109" s="691">
        <v>318.14869241299999</v>
      </c>
      <c r="AC109" s="691">
        <v>277.58031021599999</v>
      </c>
      <c r="AD109" s="691">
        <v>96.285381610000002</v>
      </c>
      <c r="AE109" s="691">
        <v>92.763490094000005</v>
      </c>
      <c r="AF109" s="691">
        <v>92.763490094000005</v>
      </c>
      <c r="AG109" s="691">
        <v>92.763490094000005</v>
      </c>
      <c r="AH109" s="691">
        <v>0</v>
      </c>
      <c r="AI109" s="691">
        <v>0</v>
      </c>
      <c r="AJ109" s="691">
        <v>0</v>
      </c>
      <c r="AK109" s="691">
        <v>0</v>
      </c>
      <c r="AL109" s="691">
        <v>0</v>
      </c>
      <c r="AM109" s="691">
        <v>0</v>
      </c>
      <c r="AN109" s="691">
        <v>0</v>
      </c>
      <c r="AO109" s="692">
        <v>0</v>
      </c>
      <c r="AP109" s="628"/>
      <c r="AQ109" s="690">
        <v>0</v>
      </c>
      <c r="AR109" s="691">
        <v>0</v>
      </c>
      <c r="AS109" s="691">
        <v>5331291.2695778701</v>
      </c>
      <c r="AT109" s="691">
        <v>5317286.5570189096</v>
      </c>
      <c r="AU109" s="691">
        <v>5317286.5570189096</v>
      </c>
      <c r="AV109" s="691">
        <v>5294305.8489489201</v>
      </c>
      <c r="AW109" s="691">
        <v>5125718.1503715096</v>
      </c>
      <c r="AX109" s="691">
        <v>5052531.1639326504</v>
      </c>
      <c r="AY109" s="691">
        <v>5052531.1639326504</v>
      </c>
      <c r="AZ109" s="691">
        <v>5043144.6978340298</v>
      </c>
      <c r="BA109" s="691">
        <v>4927105.8401609296</v>
      </c>
      <c r="BB109" s="691">
        <v>4412807.6740284599</v>
      </c>
      <c r="BC109" s="691">
        <v>3682628.6720087202</v>
      </c>
      <c r="BD109" s="691">
        <v>3604801.1350256298</v>
      </c>
      <c r="BE109" s="691">
        <v>1719538.3049059999</v>
      </c>
      <c r="BF109" s="691">
        <v>1624000.71069388</v>
      </c>
      <c r="BG109" s="691">
        <v>1624000.71069388</v>
      </c>
      <c r="BH109" s="691">
        <v>1349984.88980573</v>
      </c>
      <c r="BI109" s="691">
        <v>188596.84696460501</v>
      </c>
      <c r="BJ109" s="691">
        <v>179984.96078329501</v>
      </c>
      <c r="BK109" s="691">
        <v>179984.96078329501</v>
      </c>
      <c r="BL109" s="691">
        <v>179984.96078329501</v>
      </c>
      <c r="BM109" s="691">
        <v>0</v>
      </c>
      <c r="BN109" s="691">
        <v>0</v>
      </c>
      <c r="BO109" s="691">
        <v>0</v>
      </c>
      <c r="BP109" s="691">
        <v>0</v>
      </c>
      <c r="BQ109" s="691">
        <v>0</v>
      </c>
      <c r="BR109" s="691">
        <v>0</v>
      </c>
      <c r="BS109" s="691">
        <v>0</v>
      </c>
      <c r="BT109" s="692">
        <v>0</v>
      </c>
      <c r="BU109" s="163"/>
    </row>
    <row r="110" spans="2:73" ht="15.75" hidden="1" outlineLevel="1">
      <c r="B110" s="752" t="s">
        <v>208</v>
      </c>
      <c r="C110" s="752" t="s">
        <v>735</v>
      </c>
      <c r="D110" s="752" t="s">
        <v>755</v>
      </c>
      <c r="E110" s="752" t="s">
        <v>733</v>
      </c>
      <c r="F110" s="752" t="s">
        <v>736</v>
      </c>
      <c r="G110" s="752" t="s">
        <v>739</v>
      </c>
      <c r="H110" s="752">
        <v>2013</v>
      </c>
      <c r="I110" s="639" t="s">
        <v>569</v>
      </c>
      <c r="J110" s="639" t="s">
        <v>585</v>
      </c>
      <c r="K110" s="628"/>
      <c r="L110" s="690">
        <v>0</v>
      </c>
      <c r="M110" s="691">
        <v>0</v>
      </c>
      <c r="N110" s="691">
        <v>110.33890635900001</v>
      </c>
      <c r="O110" s="691">
        <v>110.33890635900001</v>
      </c>
      <c r="P110" s="691">
        <v>106.472837224</v>
      </c>
      <c r="Q110" s="691">
        <v>96.037296600999994</v>
      </c>
      <c r="R110" s="691">
        <v>40.368307094000002</v>
      </c>
      <c r="S110" s="691">
        <v>40.368307094000002</v>
      </c>
      <c r="T110" s="691">
        <v>40.368307094000002</v>
      </c>
      <c r="U110" s="691">
        <v>40.368307094000002</v>
      </c>
      <c r="V110" s="691">
        <v>40.368307094000002</v>
      </c>
      <c r="W110" s="691">
        <v>40.368307094000002</v>
      </c>
      <c r="X110" s="691">
        <v>38.167963931999999</v>
      </c>
      <c r="Y110" s="691">
        <v>29.953728129999998</v>
      </c>
      <c r="Z110" s="691">
        <v>0</v>
      </c>
      <c r="AA110" s="691">
        <v>0</v>
      </c>
      <c r="AB110" s="691">
        <v>0</v>
      </c>
      <c r="AC110" s="691">
        <v>0</v>
      </c>
      <c r="AD110" s="691">
        <v>0</v>
      </c>
      <c r="AE110" s="691">
        <v>0</v>
      </c>
      <c r="AF110" s="691">
        <v>0</v>
      </c>
      <c r="AG110" s="691">
        <v>0</v>
      </c>
      <c r="AH110" s="691">
        <v>0</v>
      </c>
      <c r="AI110" s="691">
        <v>0</v>
      </c>
      <c r="AJ110" s="691">
        <v>0</v>
      </c>
      <c r="AK110" s="691">
        <v>0</v>
      </c>
      <c r="AL110" s="691">
        <v>0</v>
      </c>
      <c r="AM110" s="691">
        <v>0</v>
      </c>
      <c r="AN110" s="691">
        <v>0</v>
      </c>
      <c r="AO110" s="692">
        <v>0</v>
      </c>
      <c r="AP110" s="628"/>
      <c r="AQ110" s="690">
        <v>0</v>
      </c>
      <c r="AR110" s="691">
        <v>0</v>
      </c>
      <c r="AS110" s="691">
        <v>386912.716400226</v>
      </c>
      <c r="AT110" s="691">
        <v>386912.716400226</v>
      </c>
      <c r="AU110" s="691">
        <v>373205.18190576998</v>
      </c>
      <c r="AV110" s="691">
        <v>333368.16889166902</v>
      </c>
      <c r="AW110" s="691">
        <v>147505.98294481501</v>
      </c>
      <c r="AX110" s="691">
        <v>147505.98294481501</v>
      </c>
      <c r="AY110" s="691">
        <v>147505.98294481501</v>
      </c>
      <c r="AZ110" s="691">
        <v>147505.98294481501</v>
      </c>
      <c r="BA110" s="691">
        <v>147505.98294481501</v>
      </c>
      <c r="BB110" s="691">
        <v>147505.98294481501</v>
      </c>
      <c r="BC110" s="691">
        <v>127544.74506928401</v>
      </c>
      <c r="BD110" s="691">
        <v>99697.262576024994</v>
      </c>
      <c r="BE110" s="691">
        <v>0</v>
      </c>
      <c r="BF110" s="691">
        <v>0</v>
      </c>
      <c r="BG110" s="691">
        <v>0</v>
      </c>
      <c r="BH110" s="691">
        <v>0</v>
      </c>
      <c r="BI110" s="691">
        <v>0</v>
      </c>
      <c r="BJ110" s="691">
        <v>0</v>
      </c>
      <c r="BK110" s="691">
        <v>0</v>
      </c>
      <c r="BL110" s="691">
        <v>0</v>
      </c>
      <c r="BM110" s="691">
        <v>0</v>
      </c>
      <c r="BN110" s="691">
        <v>0</v>
      </c>
      <c r="BO110" s="691">
        <v>0</v>
      </c>
      <c r="BP110" s="691">
        <v>0</v>
      </c>
      <c r="BQ110" s="691">
        <v>0</v>
      </c>
      <c r="BR110" s="691">
        <v>0</v>
      </c>
      <c r="BS110" s="691">
        <v>0</v>
      </c>
      <c r="BT110" s="692">
        <v>0</v>
      </c>
      <c r="BU110" s="163"/>
    </row>
    <row r="111" spans="2:73" ht="15.75" hidden="1" outlineLevel="1">
      <c r="B111" s="752" t="s">
        <v>208</v>
      </c>
      <c r="C111" s="752" t="s">
        <v>731</v>
      </c>
      <c r="D111" s="752" t="s">
        <v>756</v>
      </c>
      <c r="E111" s="752" t="s">
        <v>733</v>
      </c>
      <c r="F111" s="752" t="s">
        <v>29</v>
      </c>
      <c r="G111" s="752" t="s">
        <v>739</v>
      </c>
      <c r="H111" s="752">
        <v>2013</v>
      </c>
      <c r="I111" s="639" t="s">
        <v>569</v>
      </c>
      <c r="J111" s="639" t="s">
        <v>585</v>
      </c>
      <c r="K111" s="628"/>
      <c r="L111" s="690">
        <v>0</v>
      </c>
      <c r="M111" s="691">
        <v>0</v>
      </c>
      <c r="N111" s="691">
        <v>8.4255721040000005</v>
      </c>
      <c r="O111" s="691">
        <v>8.4255721040000005</v>
      </c>
      <c r="P111" s="691">
        <v>8.1214538899999997</v>
      </c>
      <c r="Q111" s="691">
        <v>6.962101305</v>
      </c>
      <c r="R111" s="691">
        <v>6.962101305</v>
      </c>
      <c r="S111" s="691">
        <v>6.962101305</v>
      </c>
      <c r="T111" s="691">
        <v>6.962101305</v>
      </c>
      <c r="U111" s="691">
        <v>6.9523594060000002</v>
      </c>
      <c r="V111" s="691">
        <v>5.199962191</v>
      </c>
      <c r="W111" s="691">
        <v>5.199962191</v>
      </c>
      <c r="X111" s="691">
        <v>4.1769522859999997</v>
      </c>
      <c r="Y111" s="691">
        <v>4.1768353930000002</v>
      </c>
      <c r="Z111" s="691">
        <v>4.1768353930000002</v>
      </c>
      <c r="AA111" s="691">
        <v>4.1706085369999997</v>
      </c>
      <c r="AB111" s="691">
        <v>4.1706085369999997</v>
      </c>
      <c r="AC111" s="691">
        <v>4.1655075520000002</v>
      </c>
      <c r="AD111" s="691">
        <v>4.0367880060000001</v>
      </c>
      <c r="AE111" s="691">
        <v>2.3695049930000001</v>
      </c>
      <c r="AF111" s="691">
        <v>2.3695049930000001</v>
      </c>
      <c r="AG111" s="691">
        <v>2.3695049930000001</v>
      </c>
      <c r="AH111" s="691">
        <v>0</v>
      </c>
      <c r="AI111" s="691">
        <v>0</v>
      </c>
      <c r="AJ111" s="691">
        <v>0</v>
      </c>
      <c r="AK111" s="691">
        <v>0</v>
      </c>
      <c r="AL111" s="691">
        <v>0</v>
      </c>
      <c r="AM111" s="691">
        <v>0</v>
      </c>
      <c r="AN111" s="691">
        <v>0</v>
      </c>
      <c r="AO111" s="692">
        <v>0</v>
      </c>
      <c r="AP111" s="628"/>
      <c r="AQ111" s="690">
        <v>0</v>
      </c>
      <c r="AR111" s="691">
        <v>0</v>
      </c>
      <c r="AS111" s="691">
        <v>125711.367472225</v>
      </c>
      <c r="AT111" s="691">
        <v>125711.367472225</v>
      </c>
      <c r="AU111" s="691">
        <v>120866.96959938999</v>
      </c>
      <c r="AV111" s="691">
        <v>102399.265479921</v>
      </c>
      <c r="AW111" s="691">
        <v>102399.265479921</v>
      </c>
      <c r="AX111" s="691">
        <v>102399.265479921</v>
      </c>
      <c r="AY111" s="691">
        <v>102399.265479921</v>
      </c>
      <c r="AZ111" s="691">
        <v>102313.92643952899</v>
      </c>
      <c r="BA111" s="691">
        <v>74399.421653256999</v>
      </c>
      <c r="BB111" s="691">
        <v>74399.421653256999</v>
      </c>
      <c r="BC111" s="691">
        <v>67647.385863032003</v>
      </c>
      <c r="BD111" s="691">
        <v>66684.057334394005</v>
      </c>
      <c r="BE111" s="691">
        <v>66684.057334394005</v>
      </c>
      <c r="BF111" s="691">
        <v>66409.929280580007</v>
      </c>
      <c r="BG111" s="691">
        <v>66409.929280580007</v>
      </c>
      <c r="BH111" s="691">
        <v>66353.723638961004</v>
      </c>
      <c r="BI111" s="691">
        <v>64303.308153342005</v>
      </c>
      <c r="BJ111" s="691">
        <v>37744.615147151002</v>
      </c>
      <c r="BK111" s="691">
        <v>37744.615147151002</v>
      </c>
      <c r="BL111" s="691">
        <v>37744.615147151002</v>
      </c>
      <c r="BM111" s="691">
        <v>0</v>
      </c>
      <c r="BN111" s="691">
        <v>0</v>
      </c>
      <c r="BO111" s="691">
        <v>0</v>
      </c>
      <c r="BP111" s="691">
        <v>0</v>
      </c>
      <c r="BQ111" s="691">
        <v>0</v>
      </c>
      <c r="BR111" s="691">
        <v>0</v>
      </c>
      <c r="BS111" s="691">
        <v>0</v>
      </c>
      <c r="BT111" s="692">
        <v>0</v>
      </c>
      <c r="BU111" s="163"/>
    </row>
    <row r="112" spans="2:73" hidden="1" outlineLevel="1">
      <c r="B112" s="752" t="s">
        <v>208</v>
      </c>
      <c r="C112" s="752" t="s">
        <v>731</v>
      </c>
      <c r="D112" s="752" t="s">
        <v>2</v>
      </c>
      <c r="E112" s="752" t="s">
        <v>733</v>
      </c>
      <c r="F112" s="752" t="s">
        <v>29</v>
      </c>
      <c r="G112" s="752" t="s">
        <v>739</v>
      </c>
      <c r="H112" s="752">
        <v>2013</v>
      </c>
      <c r="I112" s="639" t="s">
        <v>569</v>
      </c>
      <c r="J112" s="639" t="s">
        <v>585</v>
      </c>
      <c r="K112" s="628"/>
      <c r="L112" s="690">
        <v>0</v>
      </c>
      <c r="M112" s="691">
        <v>0</v>
      </c>
      <c r="N112" s="691">
        <v>18.025886620000001</v>
      </c>
      <c r="O112" s="691">
        <v>18.025886620000001</v>
      </c>
      <c r="P112" s="691">
        <v>18.025886620000001</v>
      </c>
      <c r="Q112" s="691">
        <v>18.025886620000001</v>
      </c>
      <c r="R112" s="691">
        <v>0</v>
      </c>
      <c r="S112" s="691">
        <v>0</v>
      </c>
      <c r="T112" s="691">
        <v>0</v>
      </c>
      <c r="U112" s="691">
        <v>0</v>
      </c>
      <c r="V112" s="691">
        <v>0</v>
      </c>
      <c r="W112" s="691">
        <v>0</v>
      </c>
      <c r="X112" s="691">
        <v>0</v>
      </c>
      <c r="Y112" s="691">
        <v>0</v>
      </c>
      <c r="Z112" s="691">
        <v>0</v>
      </c>
      <c r="AA112" s="691">
        <v>0</v>
      </c>
      <c r="AB112" s="691">
        <v>0</v>
      </c>
      <c r="AC112" s="691">
        <v>0</v>
      </c>
      <c r="AD112" s="691">
        <v>0</v>
      </c>
      <c r="AE112" s="691">
        <v>0</v>
      </c>
      <c r="AF112" s="691">
        <v>0</v>
      </c>
      <c r="AG112" s="691">
        <v>0</v>
      </c>
      <c r="AH112" s="691">
        <v>0</v>
      </c>
      <c r="AI112" s="691">
        <v>0</v>
      </c>
      <c r="AJ112" s="691">
        <v>0</v>
      </c>
      <c r="AK112" s="691">
        <v>0</v>
      </c>
      <c r="AL112" s="691">
        <v>0</v>
      </c>
      <c r="AM112" s="691">
        <v>0</v>
      </c>
      <c r="AN112" s="691">
        <v>0</v>
      </c>
      <c r="AO112" s="692">
        <v>0</v>
      </c>
      <c r="AP112" s="628"/>
      <c r="AQ112" s="690">
        <v>0</v>
      </c>
      <c r="AR112" s="691">
        <v>0</v>
      </c>
      <c r="AS112" s="691">
        <v>32141.269380000005</v>
      </c>
      <c r="AT112" s="691">
        <v>32141.269380000005</v>
      </c>
      <c r="AU112" s="691">
        <v>32141.269380000005</v>
      </c>
      <c r="AV112" s="691">
        <v>32141.269380000005</v>
      </c>
      <c r="AW112" s="691">
        <v>0</v>
      </c>
      <c r="AX112" s="691">
        <v>0</v>
      </c>
      <c r="AY112" s="691">
        <v>0</v>
      </c>
      <c r="AZ112" s="691">
        <v>0</v>
      </c>
      <c r="BA112" s="691">
        <v>0</v>
      </c>
      <c r="BB112" s="691">
        <v>0</v>
      </c>
      <c r="BC112" s="691">
        <v>0</v>
      </c>
      <c r="BD112" s="691">
        <v>0</v>
      </c>
      <c r="BE112" s="691">
        <v>0</v>
      </c>
      <c r="BF112" s="691">
        <v>0</v>
      </c>
      <c r="BG112" s="691">
        <v>0</v>
      </c>
      <c r="BH112" s="691">
        <v>0</v>
      </c>
      <c r="BI112" s="691">
        <v>0</v>
      </c>
      <c r="BJ112" s="691">
        <v>0</v>
      </c>
      <c r="BK112" s="691">
        <v>0</v>
      </c>
      <c r="BL112" s="691">
        <v>0</v>
      </c>
      <c r="BM112" s="691">
        <v>0</v>
      </c>
      <c r="BN112" s="691">
        <v>0</v>
      </c>
      <c r="BO112" s="691">
        <v>0</v>
      </c>
      <c r="BP112" s="691">
        <v>0</v>
      </c>
      <c r="BQ112" s="691">
        <v>0</v>
      </c>
      <c r="BR112" s="691">
        <v>0</v>
      </c>
      <c r="BS112" s="691">
        <v>0</v>
      </c>
      <c r="BT112" s="692">
        <v>0</v>
      </c>
    </row>
    <row r="113" spans="2:72" hidden="1" outlineLevel="1">
      <c r="B113" s="752" t="s">
        <v>208</v>
      </c>
      <c r="C113" s="752" t="s">
        <v>731</v>
      </c>
      <c r="D113" s="752" t="s">
        <v>1</v>
      </c>
      <c r="E113" s="752" t="s">
        <v>733</v>
      </c>
      <c r="F113" s="752" t="s">
        <v>29</v>
      </c>
      <c r="G113" s="752" t="s">
        <v>739</v>
      </c>
      <c r="H113" s="752">
        <v>2013</v>
      </c>
      <c r="I113" s="639" t="s">
        <v>569</v>
      </c>
      <c r="J113" s="639" t="s">
        <v>585</v>
      </c>
      <c r="K113" s="628"/>
      <c r="L113" s="690">
        <v>0</v>
      </c>
      <c r="M113" s="691">
        <v>0</v>
      </c>
      <c r="N113" s="691">
        <v>12.099487692999999</v>
      </c>
      <c r="O113" s="691">
        <v>12.099487692999999</v>
      </c>
      <c r="P113" s="691">
        <v>12.099487692999999</v>
      </c>
      <c r="Q113" s="691">
        <v>11.889919633999998</v>
      </c>
      <c r="R113" s="691">
        <v>6.4327433850000002</v>
      </c>
      <c r="S113" s="691">
        <v>0</v>
      </c>
      <c r="T113" s="691">
        <v>0</v>
      </c>
      <c r="U113" s="691">
        <v>0</v>
      </c>
      <c r="V113" s="691">
        <v>0</v>
      </c>
      <c r="W113" s="691">
        <v>0</v>
      </c>
      <c r="X113" s="691">
        <v>0</v>
      </c>
      <c r="Y113" s="691">
        <v>0</v>
      </c>
      <c r="Z113" s="691">
        <v>0</v>
      </c>
      <c r="AA113" s="691">
        <v>0</v>
      </c>
      <c r="AB113" s="691">
        <v>0</v>
      </c>
      <c r="AC113" s="691">
        <v>0</v>
      </c>
      <c r="AD113" s="691">
        <v>0</v>
      </c>
      <c r="AE113" s="691">
        <v>0</v>
      </c>
      <c r="AF113" s="691">
        <v>0</v>
      </c>
      <c r="AG113" s="691">
        <v>0</v>
      </c>
      <c r="AH113" s="691">
        <v>0</v>
      </c>
      <c r="AI113" s="691">
        <v>0</v>
      </c>
      <c r="AJ113" s="691">
        <v>0</v>
      </c>
      <c r="AK113" s="691">
        <v>0</v>
      </c>
      <c r="AL113" s="691">
        <v>0</v>
      </c>
      <c r="AM113" s="691">
        <v>0</v>
      </c>
      <c r="AN113" s="691">
        <v>0</v>
      </c>
      <c r="AO113" s="692">
        <v>0</v>
      </c>
      <c r="AP113" s="628"/>
      <c r="AQ113" s="690">
        <v>0</v>
      </c>
      <c r="AR113" s="691">
        <v>0</v>
      </c>
      <c r="AS113" s="691">
        <v>77116.592397512999</v>
      </c>
      <c r="AT113" s="691">
        <v>77116.592397512999</v>
      </c>
      <c r="AU113" s="691">
        <v>77116.592397512999</v>
      </c>
      <c r="AV113" s="691">
        <v>76911.503360845993</v>
      </c>
      <c r="AW113" s="691">
        <v>43769.448790151</v>
      </c>
      <c r="AX113" s="691">
        <v>0</v>
      </c>
      <c r="AY113" s="691">
        <v>0</v>
      </c>
      <c r="AZ113" s="691">
        <v>0</v>
      </c>
      <c r="BA113" s="691">
        <v>0</v>
      </c>
      <c r="BB113" s="691">
        <v>0</v>
      </c>
      <c r="BC113" s="691">
        <v>0</v>
      </c>
      <c r="BD113" s="691">
        <v>0</v>
      </c>
      <c r="BE113" s="691">
        <v>0</v>
      </c>
      <c r="BF113" s="691">
        <v>0</v>
      </c>
      <c r="BG113" s="691">
        <v>0</v>
      </c>
      <c r="BH113" s="691">
        <v>0</v>
      </c>
      <c r="BI113" s="691">
        <v>0</v>
      </c>
      <c r="BJ113" s="691">
        <v>0</v>
      </c>
      <c r="BK113" s="691">
        <v>0</v>
      </c>
      <c r="BL113" s="691">
        <v>0</v>
      </c>
      <c r="BM113" s="691">
        <v>0</v>
      </c>
      <c r="BN113" s="691">
        <v>0</v>
      </c>
      <c r="BO113" s="691">
        <v>0</v>
      </c>
      <c r="BP113" s="691">
        <v>0</v>
      </c>
      <c r="BQ113" s="691">
        <v>0</v>
      </c>
      <c r="BR113" s="691">
        <v>0</v>
      </c>
      <c r="BS113" s="691">
        <v>0</v>
      </c>
      <c r="BT113" s="692">
        <v>0</v>
      </c>
    </row>
    <row r="114" spans="2:72" hidden="1" outlineLevel="1">
      <c r="B114" s="752" t="s">
        <v>208</v>
      </c>
      <c r="C114" s="752" t="s">
        <v>731</v>
      </c>
      <c r="D114" s="752" t="s">
        <v>757</v>
      </c>
      <c r="E114" s="752" t="s">
        <v>733</v>
      </c>
      <c r="F114" s="752" t="s">
        <v>29</v>
      </c>
      <c r="G114" s="752" t="s">
        <v>739</v>
      </c>
      <c r="H114" s="752">
        <v>2013</v>
      </c>
      <c r="I114" s="639" t="s">
        <v>569</v>
      </c>
      <c r="J114" s="639" t="s">
        <v>585</v>
      </c>
      <c r="K114" s="628"/>
      <c r="L114" s="690">
        <v>0</v>
      </c>
      <c r="M114" s="691">
        <v>0</v>
      </c>
      <c r="N114" s="691">
        <v>19.305651084000001</v>
      </c>
      <c r="O114" s="691">
        <v>19.305651084000001</v>
      </c>
      <c r="P114" s="691">
        <v>18.245779913</v>
      </c>
      <c r="Q114" s="691">
        <v>14.628708635000001</v>
      </c>
      <c r="R114" s="691">
        <v>14.628708635000001</v>
      </c>
      <c r="S114" s="691">
        <v>14.628708635000001</v>
      </c>
      <c r="T114" s="691">
        <v>14.628708635000001</v>
      </c>
      <c r="U114" s="691">
        <v>14.601035992</v>
      </c>
      <c r="V114" s="691">
        <v>12.549447474999999</v>
      </c>
      <c r="W114" s="691">
        <v>12.549447474999999</v>
      </c>
      <c r="X114" s="691">
        <v>9.1062411599999997</v>
      </c>
      <c r="Y114" s="691">
        <v>5.8819723279999998</v>
      </c>
      <c r="Z114" s="691">
        <v>5.8819723279999998</v>
      </c>
      <c r="AA114" s="691">
        <v>5.7661016399999996</v>
      </c>
      <c r="AB114" s="691">
        <v>5.7661016399999996</v>
      </c>
      <c r="AC114" s="691">
        <v>5.7066568220000002</v>
      </c>
      <c r="AD114" s="691">
        <v>4.925803685</v>
      </c>
      <c r="AE114" s="691">
        <v>2.8913355209999998</v>
      </c>
      <c r="AF114" s="691">
        <v>2.8913355209999998</v>
      </c>
      <c r="AG114" s="691">
        <v>2.8913355209999998</v>
      </c>
      <c r="AH114" s="691">
        <v>0</v>
      </c>
      <c r="AI114" s="691">
        <v>0</v>
      </c>
      <c r="AJ114" s="691">
        <v>0</v>
      </c>
      <c r="AK114" s="691">
        <v>0</v>
      </c>
      <c r="AL114" s="691">
        <v>0</v>
      </c>
      <c r="AM114" s="691">
        <v>0</v>
      </c>
      <c r="AN114" s="691">
        <v>0</v>
      </c>
      <c r="AO114" s="692">
        <v>0</v>
      </c>
      <c r="AP114" s="628"/>
      <c r="AQ114" s="690">
        <v>0</v>
      </c>
      <c r="AR114" s="691">
        <v>0</v>
      </c>
      <c r="AS114" s="691">
        <v>280205.10665002401</v>
      </c>
      <c r="AT114" s="691">
        <v>280205.10665002401</v>
      </c>
      <c r="AU114" s="691">
        <v>263322.07429679303</v>
      </c>
      <c r="AV114" s="691">
        <v>205704.57030615699</v>
      </c>
      <c r="AW114" s="691">
        <v>205704.57030615699</v>
      </c>
      <c r="AX114" s="691">
        <v>205704.57030615699</v>
      </c>
      <c r="AY114" s="691">
        <v>205704.57030615699</v>
      </c>
      <c r="AZ114" s="691">
        <v>205462.15795953601</v>
      </c>
      <c r="BA114" s="691">
        <v>172781.737667924</v>
      </c>
      <c r="BB114" s="691">
        <v>172781.737667924</v>
      </c>
      <c r="BC114" s="691">
        <v>150347.98449582499</v>
      </c>
      <c r="BD114" s="691">
        <v>96659.223478366999</v>
      </c>
      <c r="BE114" s="691">
        <v>96659.223478366999</v>
      </c>
      <c r="BF114" s="691">
        <v>91558.189024564999</v>
      </c>
      <c r="BG114" s="691">
        <v>91558.189024564999</v>
      </c>
      <c r="BH114" s="691">
        <v>90903.191253284007</v>
      </c>
      <c r="BI114" s="691">
        <v>78464.727845583999</v>
      </c>
      <c r="BJ114" s="691">
        <v>46057.023232945001</v>
      </c>
      <c r="BK114" s="691">
        <v>46057.023232945001</v>
      </c>
      <c r="BL114" s="691">
        <v>46057.023232945001</v>
      </c>
      <c r="BM114" s="691">
        <v>0</v>
      </c>
      <c r="BN114" s="691">
        <v>0</v>
      </c>
      <c r="BO114" s="691">
        <v>0</v>
      </c>
      <c r="BP114" s="691">
        <v>0</v>
      </c>
      <c r="BQ114" s="691">
        <v>0</v>
      </c>
      <c r="BR114" s="691">
        <v>0</v>
      </c>
      <c r="BS114" s="691">
        <v>0</v>
      </c>
      <c r="BT114" s="692">
        <v>0</v>
      </c>
    </row>
    <row r="115" spans="2:72" hidden="1" outlineLevel="1">
      <c r="B115" s="752" t="s">
        <v>208</v>
      </c>
      <c r="C115" s="752" t="s">
        <v>731</v>
      </c>
      <c r="D115" s="752" t="s">
        <v>14</v>
      </c>
      <c r="E115" s="752" t="s">
        <v>733</v>
      </c>
      <c r="F115" s="752" t="s">
        <v>29</v>
      </c>
      <c r="G115" s="752" t="s">
        <v>739</v>
      </c>
      <c r="H115" s="752">
        <v>2013</v>
      </c>
      <c r="I115" s="639" t="s">
        <v>569</v>
      </c>
      <c r="J115" s="639" t="s">
        <v>585</v>
      </c>
      <c r="K115" s="628"/>
      <c r="L115" s="690">
        <v>0</v>
      </c>
      <c r="M115" s="691">
        <v>0</v>
      </c>
      <c r="N115" s="691">
        <v>43.721167960000002</v>
      </c>
      <c r="O115" s="691">
        <v>43.573104633</v>
      </c>
      <c r="P115" s="691">
        <v>43.546498026999998</v>
      </c>
      <c r="Q115" s="691">
        <v>41.096533540000003</v>
      </c>
      <c r="R115" s="691">
        <v>39.872559512999999</v>
      </c>
      <c r="S115" s="691">
        <v>38.7030618</v>
      </c>
      <c r="T115" s="691">
        <v>38.032530559000001</v>
      </c>
      <c r="U115" s="691">
        <v>38.032530559000001</v>
      </c>
      <c r="V115" s="691">
        <v>28.242584041000001</v>
      </c>
      <c r="W115" s="691">
        <v>27.962383215999999</v>
      </c>
      <c r="X115" s="691">
        <v>25.769732076</v>
      </c>
      <c r="Y115" s="691">
        <v>25.769732076</v>
      </c>
      <c r="Z115" s="691">
        <v>24.156514126000001</v>
      </c>
      <c r="AA115" s="691">
        <v>24.156514126000001</v>
      </c>
      <c r="AB115" s="691">
        <v>21.662827554</v>
      </c>
      <c r="AC115" s="691">
        <v>20.474938553000001</v>
      </c>
      <c r="AD115" s="691">
        <v>20.474938553000001</v>
      </c>
      <c r="AE115" s="691">
        <v>20.474938553000001</v>
      </c>
      <c r="AF115" s="691">
        <v>20.474938553000001</v>
      </c>
      <c r="AG115" s="691">
        <v>20.474938553000001</v>
      </c>
      <c r="AH115" s="691">
        <v>1.4558952970000001</v>
      </c>
      <c r="AI115" s="691">
        <v>0</v>
      </c>
      <c r="AJ115" s="691">
        <v>0</v>
      </c>
      <c r="AK115" s="691">
        <v>0</v>
      </c>
      <c r="AL115" s="691">
        <v>0</v>
      </c>
      <c r="AM115" s="691">
        <v>0</v>
      </c>
      <c r="AN115" s="691">
        <v>0</v>
      </c>
      <c r="AO115" s="692">
        <v>0</v>
      </c>
      <c r="AP115" s="628"/>
      <c r="AQ115" s="690">
        <v>0</v>
      </c>
      <c r="AR115" s="691">
        <v>0</v>
      </c>
      <c r="AS115" s="691">
        <v>412583.735778809</v>
      </c>
      <c r="AT115" s="691">
        <v>409733.41975402797</v>
      </c>
      <c r="AU115" s="691">
        <v>409221.22557830799</v>
      </c>
      <c r="AV115" s="691">
        <v>362057.80597305298</v>
      </c>
      <c r="AW115" s="691">
        <v>338317.21718215902</v>
      </c>
      <c r="AX115" s="691">
        <v>315803.62133407599</v>
      </c>
      <c r="AY115" s="691">
        <v>302895.45577621501</v>
      </c>
      <c r="AZ115" s="691">
        <v>301450.00125503499</v>
      </c>
      <c r="BA115" s="691">
        <v>112987.123764038</v>
      </c>
      <c r="BB115" s="691">
        <v>112725.433418274</v>
      </c>
      <c r="BC115" s="691">
        <v>93546.176109313994</v>
      </c>
      <c r="BD115" s="691">
        <v>93546.176109313994</v>
      </c>
      <c r="BE115" s="691">
        <v>88182.782676696996</v>
      </c>
      <c r="BF115" s="691">
        <v>88182.782676696996</v>
      </c>
      <c r="BG115" s="691">
        <v>68657.985740661999</v>
      </c>
      <c r="BH115" s="691">
        <v>58862.301910399998</v>
      </c>
      <c r="BI115" s="691">
        <v>58862.301910399998</v>
      </c>
      <c r="BJ115" s="691">
        <v>58862.301910399998</v>
      </c>
      <c r="BK115" s="691">
        <v>58862.301910399998</v>
      </c>
      <c r="BL115" s="691">
        <v>58862.301910399998</v>
      </c>
      <c r="BM115" s="691">
        <v>10733.401977539001</v>
      </c>
      <c r="BN115" s="691">
        <v>0</v>
      </c>
      <c r="BO115" s="691">
        <v>0</v>
      </c>
      <c r="BP115" s="691">
        <v>0</v>
      </c>
      <c r="BQ115" s="691">
        <v>0</v>
      </c>
      <c r="BR115" s="691">
        <v>0</v>
      </c>
      <c r="BS115" s="691">
        <v>0</v>
      </c>
      <c r="BT115" s="692">
        <v>0</v>
      </c>
    </row>
    <row r="116" spans="2:72" hidden="1" outlineLevel="1">
      <c r="B116" s="752" t="s">
        <v>208</v>
      </c>
      <c r="C116" s="752" t="s">
        <v>731</v>
      </c>
      <c r="D116" s="752" t="s">
        <v>748</v>
      </c>
      <c r="E116" s="752" t="s">
        <v>733</v>
      </c>
      <c r="F116" s="752" t="s">
        <v>29</v>
      </c>
      <c r="G116" s="752" t="s">
        <v>739</v>
      </c>
      <c r="H116" s="752">
        <v>2013</v>
      </c>
      <c r="I116" s="639" t="s">
        <v>569</v>
      </c>
      <c r="J116" s="639" t="s">
        <v>585</v>
      </c>
      <c r="K116" s="628"/>
      <c r="L116" s="690">
        <v>0</v>
      </c>
      <c r="M116" s="691">
        <v>0</v>
      </c>
      <c r="N116" s="691">
        <v>393.47744114799997</v>
      </c>
      <c r="O116" s="691">
        <v>393.47744114799997</v>
      </c>
      <c r="P116" s="691">
        <v>393.47744114799997</v>
      </c>
      <c r="Q116" s="691">
        <v>393.47744114799997</v>
      </c>
      <c r="R116" s="691">
        <v>393.47744114799997</v>
      </c>
      <c r="S116" s="691">
        <v>393.47744114799997</v>
      </c>
      <c r="T116" s="691">
        <v>393.47744114799997</v>
      </c>
      <c r="U116" s="691">
        <v>393.47744114799997</v>
      </c>
      <c r="V116" s="691">
        <v>393.47744114799997</v>
      </c>
      <c r="W116" s="691">
        <v>393.47744114799997</v>
      </c>
      <c r="X116" s="691">
        <v>393.47744114799997</v>
      </c>
      <c r="Y116" s="691">
        <v>393.47744114799997</v>
      </c>
      <c r="Z116" s="691">
        <v>393.47744114799997</v>
      </c>
      <c r="AA116" s="691">
        <v>393.47744114799997</v>
      </c>
      <c r="AB116" s="691">
        <v>393.47744114799997</v>
      </c>
      <c r="AC116" s="691">
        <v>393.47744114799997</v>
      </c>
      <c r="AD116" s="691">
        <v>393.47744114799997</v>
      </c>
      <c r="AE116" s="691">
        <v>393.47744114799997</v>
      </c>
      <c r="AF116" s="691">
        <v>312.89500402300001</v>
      </c>
      <c r="AG116" s="691">
        <v>0</v>
      </c>
      <c r="AH116" s="691">
        <v>0</v>
      </c>
      <c r="AI116" s="691">
        <v>0</v>
      </c>
      <c r="AJ116" s="691">
        <v>0</v>
      </c>
      <c r="AK116" s="691">
        <v>0</v>
      </c>
      <c r="AL116" s="691">
        <v>0</v>
      </c>
      <c r="AM116" s="691">
        <v>0</v>
      </c>
      <c r="AN116" s="691">
        <v>0</v>
      </c>
      <c r="AO116" s="692">
        <v>0</v>
      </c>
      <c r="AP116" s="628"/>
      <c r="AQ116" s="690">
        <v>0</v>
      </c>
      <c r="AR116" s="691">
        <v>0</v>
      </c>
      <c r="AS116" s="691">
        <v>679618.46357708296</v>
      </c>
      <c r="AT116" s="691">
        <v>679618.46357708296</v>
      </c>
      <c r="AU116" s="691">
        <v>679618.46357708296</v>
      </c>
      <c r="AV116" s="691">
        <v>679618.46357708296</v>
      </c>
      <c r="AW116" s="691">
        <v>679618.46357708296</v>
      </c>
      <c r="AX116" s="691">
        <v>679618.46357708296</v>
      </c>
      <c r="AY116" s="691">
        <v>679618.46357708296</v>
      </c>
      <c r="AZ116" s="691">
        <v>679618.46357708296</v>
      </c>
      <c r="BA116" s="691">
        <v>679618.46357708296</v>
      </c>
      <c r="BB116" s="691">
        <v>679618.46357708296</v>
      </c>
      <c r="BC116" s="691">
        <v>679618.46357708296</v>
      </c>
      <c r="BD116" s="691">
        <v>679618.46357708296</v>
      </c>
      <c r="BE116" s="691">
        <v>679618.46357708296</v>
      </c>
      <c r="BF116" s="691">
        <v>679618.46357708296</v>
      </c>
      <c r="BG116" s="691">
        <v>679618.46357708296</v>
      </c>
      <c r="BH116" s="691">
        <v>679618.46357708296</v>
      </c>
      <c r="BI116" s="691">
        <v>679618.46357708296</v>
      </c>
      <c r="BJ116" s="691">
        <v>679618.46357708296</v>
      </c>
      <c r="BK116" s="691">
        <v>607557.26297779498</v>
      </c>
      <c r="BL116" s="691">
        <v>0</v>
      </c>
      <c r="BM116" s="691">
        <v>0</v>
      </c>
      <c r="BN116" s="691">
        <v>0</v>
      </c>
      <c r="BO116" s="691">
        <v>0</v>
      </c>
      <c r="BP116" s="691">
        <v>0</v>
      </c>
      <c r="BQ116" s="691">
        <v>0</v>
      </c>
      <c r="BR116" s="691">
        <v>0</v>
      </c>
      <c r="BS116" s="691">
        <v>0</v>
      </c>
      <c r="BT116" s="692">
        <v>0</v>
      </c>
    </row>
    <row r="117" spans="2:72" hidden="1" outlineLevel="1">
      <c r="B117" s="752" t="s">
        <v>208</v>
      </c>
      <c r="C117" s="752" t="s">
        <v>731</v>
      </c>
      <c r="D117" s="752" t="s">
        <v>732</v>
      </c>
      <c r="E117" s="752" t="s">
        <v>733</v>
      </c>
      <c r="F117" s="752" t="s">
        <v>29</v>
      </c>
      <c r="G117" s="752" t="s">
        <v>734</v>
      </c>
      <c r="H117" s="752">
        <v>2013</v>
      </c>
      <c r="I117" s="639" t="s">
        <v>569</v>
      </c>
      <c r="J117" s="639" t="s">
        <v>585</v>
      </c>
      <c r="K117" s="628"/>
      <c r="L117" s="690">
        <v>0</v>
      </c>
      <c r="M117" s="691">
        <v>0</v>
      </c>
      <c r="N117" s="691">
        <v>30.286740000000002</v>
      </c>
      <c r="O117" s="691">
        <v>0</v>
      </c>
      <c r="P117" s="691">
        <v>0</v>
      </c>
      <c r="Q117" s="691">
        <v>0</v>
      </c>
      <c r="R117" s="691">
        <v>0</v>
      </c>
      <c r="S117" s="691">
        <v>0</v>
      </c>
      <c r="T117" s="691">
        <v>0</v>
      </c>
      <c r="U117" s="691">
        <v>0</v>
      </c>
      <c r="V117" s="691">
        <v>0</v>
      </c>
      <c r="W117" s="691">
        <v>0</v>
      </c>
      <c r="X117" s="691">
        <v>0</v>
      </c>
      <c r="Y117" s="691">
        <v>0</v>
      </c>
      <c r="Z117" s="691">
        <v>0</v>
      </c>
      <c r="AA117" s="691">
        <v>0</v>
      </c>
      <c r="AB117" s="691">
        <v>0</v>
      </c>
      <c r="AC117" s="691">
        <v>0</v>
      </c>
      <c r="AD117" s="691">
        <v>0</v>
      </c>
      <c r="AE117" s="691">
        <v>0</v>
      </c>
      <c r="AF117" s="691">
        <v>0</v>
      </c>
      <c r="AG117" s="691">
        <v>0</v>
      </c>
      <c r="AH117" s="691">
        <v>0</v>
      </c>
      <c r="AI117" s="691">
        <v>0</v>
      </c>
      <c r="AJ117" s="691">
        <v>0</v>
      </c>
      <c r="AK117" s="691">
        <v>0</v>
      </c>
      <c r="AL117" s="691">
        <v>0</v>
      </c>
      <c r="AM117" s="691">
        <v>0</v>
      </c>
      <c r="AN117" s="691">
        <v>0</v>
      </c>
      <c r="AO117" s="692">
        <v>0</v>
      </c>
      <c r="AP117" s="628"/>
      <c r="AQ117" s="690">
        <v>0</v>
      </c>
      <c r="AR117" s="691">
        <v>0</v>
      </c>
      <c r="AS117" s="691">
        <v>8.1996839999999995</v>
      </c>
      <c r="AT117" s="691">
        <v>0</v>
      </c>
      <c r="AU117" s="691">
        <v>0</v>
      </c>
      <c r="AV117" s="691">
        <v>0</v>
      </c>
      <c r="AW117" s="691">
        <v>0</v>
      </c>
      <c r="AX117" s="691">
        <v>0</v>
      </c>
      <c r="AY117" s="691">
        <v>0</v>
      </c>
      <c r="AZ117" s="691">
        <v>0</v>
      </c>
      <c r="BA117" s="691">
        <v>0</v>
      </c>
      <c r="BB117" s="691">
        <v>0</v>
      </c>
      <c r="BC117" s="691">
        <v>0</v>
      </c>
      <c r="BD117" s="691">
        <v>0</v>
      </c>
      <c r="BE117" s="691">
        <v>0</v>
      </c>
      <c r="BF117" s="691">
        <v>0</v>
      </c>
      <c r="BG117" s="691">
        <v>0</v>
      </c>
      <c r="BH117" s="691">
        <v>0</v>
      </c>
      <c r="BI117" s="691">
        <v>0</v>
      </c>
      <c r="BJ117" s="691">
        <v>0</v>
      </c>
      <c r="BK117" s="691">
        <v>0</v>
      </c>
      <c r="BL117" s="691">
        <v>0</v>
      </c>
      <c r="BM117" s="691">
        <v>0</v>
      </c>
      <c r="BN117" s="691">
        <v>0</v>
      </c>
      <c r="BO117" s="691">
        <v>0</v>
      </c>
      <c r="BP117" s="691">
        <v>0</v>
      </c>
      <c r="BQ117" s="691">
        <v>0</v>
      </c>
      <c r="BR117" s="691">
        <v>0</v>
      </c>
      <c r="BS117" s="691">
        <v>0</v>
      </c>
      <c r="BT117" s="692">
        <v>0</v>
      </c>
    </row>
    <row r="118" spans="2:72" hidden="1" outlineLevel="1">
      <c r="B118" s="752" t="s">
        <v>208</v>
      </c>
      <c r="C118" s="752" t="s">
        <v>731</v>
      </c>
      <c r="D118" s="752" t="s">
        <v>754</v>
      </c>
      <c r="E118" s="752" t="s">
        <v>733</v>
      </c>
      <c r="F118" s="752" t="s">
        <v>29</v>
      </c>
      <c r="G118" s="752" t="s">
        <v>734</v>
      </c>
      <c r="H118" s="752">
        <v>2013</v>
      </c>
      <c r="I118" s="639" t="s">
        <v>569</v>
      </c>
      <c r="J118" s="639" t="s">
        <v>585</v>
      </c>
      <c r="K118" s="628"/>
      <c r="L118" s="690">
        <v>0</v>
      </c>
      <c r="M118" s="691">
        <v>0</v>
      </c>
      <c r="N118" s="691">
        <v>0</v>
      </c>
      <c r="O118" s="691">
        <v>0</v>
      </c>
      <c r="P118" s="691">
        <v>0</v>
      </c>
      <c r="Q118" s="691">
        <v>0</v>
      </c>
      <c r="R118" s="691">
        <v>0</v>
      </c>
      <c r="S118" s="691">
        <v>0</v>
      </c>
      <c r="T118" s="691">
        <v>0</v>
      </c>
      <c r="U118" s="691">
        <v>0</v>
      </c>
      <c r="V118" s="691">
        <v>0</v>
      </c>
      <c r="W118" s="691">
        <v>0</v>
      </c>
      <c r="X118" s="691">
        <v>0</v>
      </c>
      <c r="Y118" s="691">
        <v>0</v>
      </c>
      <c r="Z118" s="691">
        <v>0</v>
      </c>
      <c r="AA118" s="691">
        <v>0</v>
      </c>
      <c r="AB118" s="691">
        <v>0</v>
      </c>
      <c r="AC118" s="691">
        <v>0</v>
      </c>
      <c r="AD118" s="691">
        <v>0</v>
      </c>
      <c r="AE118" s="691">
        <v>0</v>
      </c>
      <c r="AF118" s="691">
        <v>0</v>
      </c>
      <c r="AG118" s="691">
        <v>0</v>
      </c>
      <c r="AH118" s="691">
        <v>0</v>
      </c>
      <c r="AI118" s="691">
        <v>0</v>
      </c>
      <c r="AJ118" s="691">
        <v>0</v>
      </c>
      <c r="AK118" s="691">
        <v>0</v>
      </c>
      <c r="AL118" s="691">
        <v>0</v>
      </c>
      <c r="AM118" s="691">
        <v>0</v>
      </c>
      <c r="AN118" s="691">
        <v>0</v>
      </c>
      <c r="AO118" s="692">
        <v>0</v>
      </c>
      <c r="AP118" s="628"/>
      <c r="AQ118" s="690">
        <v>0</v>
      </c>
      <c r="AR118" s="691">
        <v>0</v>
      </c>
      <c r="AS118" s="691">
        <v>0</v>
      </c>
      <c r="AT118" s="691">
        <v>0</v>
      </c>
      <c r="AU118" s="691">
        <v>0</v>
      </c>
      <c r="AV118" s="691">
        <v>0</v>
      </c>
      <c r="AW118" s="691">
        <v>0</v>
      </c>
      <c r="AX118" s="691">
        <v>0</v>
      </c>
      <c r="AY118" s="691">
        <v>0</v>
      </c>
      <c r="AZ118" s="691">
        <v>0</v>
      </c>
      <c r="BA118" s="691">
        <v>0</v>
      </c>
      <c r="BB118" s="691">
        <v>0</v>
      </c>
      <c r="BC118" s="691">
        <v>0</v>
      </c>
      <c r="BD118" s="691">
        <v>0</v>
      </c>
      <c r="BE118" s="691">
        <v>0</v>
      </c>
      <c r="BF118" s="691">
        <v>0</v>
      </c>
      <c r="BG118" s="691">
        <v>0</v>
      </c>
      <c r="BH118" s="691">
        <v>0</v>
      </c>
      <c r="BI118" s="691">
        <v>0</v>
      </c>
      <c r="BJ118" s="691">
        <v>0</v>
      </c>
      <c r="BK118" s="691">
        <v>0</v>
      </c>
      <c r="BL118" s="691">
        <v>0</v>
      </c>
      <c r="BM118" s="691">
        <v>0</v>
      </c>
      <c r="BN118" s="691">
        <v>0</v>
      </c>
      <c r="BO118" s="691">
        <v>0</v>
      </c>
      <c r="BP118" s="691">
        <v>0</v>
      </c>
      <c r="BQ118" s="691">
        <v>0</v>
      </c>
      <c r="BR118" s="691">
        <v>0</v>
      </c>
      <c r="BS118" s="691">
        <v>0</v>
      </c>
      <c r="BT118" s="692">
        <v>0</v>
      </c>
    </row>
    <row r="119" spans="2:72" hidden="1" outlineLevel="1">
      <c r="B119" s="752" t="s">
        <v>208</v>
      </c>
      <c r="C119" s="752" t="s">
        <v>744</v>
      </c>
      <c r="D119" s="752" t="s">
        <v>753</v>
      </c>
      <c r="E119" s="752" t="s">
        <v>733</v>
      </c>
      <c r="F119" s="752" t="s">
        <v>744</v>
      </c>
      <c r="G119" s="752" t="s">
        <v>734</v>
      </c>
      <c r="H119" s="752">
        <v>2013</v>
      </c>
      <c r="I119" s="639" t="s">
        <v>569</v>
      </c>
      <c r="J119" s="639" t="s">
        <v>585</v>
      </c>
      <c r="K119" s="628"/>
      <c r="L119" s="690">
        <v>0</v>
      </c>
      <c r="M119" s="691">
        <v>0</v>
      </c>
      <c r="N119" s="691">
        <v>6242.2839999999997</v>
      </c>
      <c r="O119" s="691">
        <v>0</v>
      </c>
      <c r="P119" s="691">
        <v>0</v>
      </c>
      <c r="Q119" s="691">
        <v>0</v>
      </c>
      <c r="R119" s="691">
        <v>0</v>
      </c>
      <c r="S119" s="691">
        <v>0</v>
      </c>
      <c r="T119" s="691">
        <v>0</v>
      </c>
      <c r="U119" s="691">
        <v>0</v>
      </c>
      <c r="V119" s="691">
        <v>0</v>
      </c>
      <c r="W119" s="691">
        <v>0</v>
      </c>
      <c r="X119" s="691">
        <v>0</v>
      </c>
      <c r="Y119" s="691">
        <v>0</v>
      </c>
      <c r="Z119" s="691">
        <v>0</v>
      </c>
      <c r="AA119" s="691">
        <v>0</v>
      </c>
      <c r="AB119" s="691">
        <v>0</v>
      </c>
      <c r="AC119" s="691">
        <v>0</v>
      </c>
      <c r="AD119" s="691">
        <v>0</v>
      </c>
      <c r="AE119" s="691">
        <v>0</v>
      </c>
      <c r="AF119" s="691">
        <v>0</v>
      </c>
      <c r="AG119" s="691">
        <v>0</v>
      </c>
      <c r="AH119" s="691">
        <v>0</v>
      </c>
      <c r="AI119" s="691">
        <v>0</v>
      </c>
      <c r="AJ119" s="691">
        <v>0</v>
      </c>
      <c r="AK119" s="691">
        <v>0</v>
      </c>
      <c r="AL119" s="691">
        <v>0</v>
      </c>
      <c r="AM119" s="691">
        <v>0</v>
      </c>
      <c r="AN119" s="691">
        <v>0</v>
      </c>
      <c r="AO119" s="692">
        <v>0</v>
      </c>
      <c r="AP119" s="628"/>
      <c r="AQ119" s="690">
        <v>0</v>
      </c>
      <c r="AR119" s="691">
        <v>0</v>
      </c>
      <c r="AS119" s="691">
        <v>165701.79999999999</v>
      </c>
      <c r="AT119" s="691">
        <v>0</v>
      </c>
      <c r="AU119" s="691">
        <v>0</v>
      </c>
      <c r="AV119" s="691">
        <v>0</v>
      </c>
      <c r="AW119" s="691">
        <v>0</v>
      </c>
      <c r="AX119" s="691">
        <v>0</v>
      </c>
      <c r="AY119" s="691">
        <v>0</v>
      </c>
      <c r="AZ119" s="691">
        <v>0</v>
      </c>
      <c r="BA119" s="691">
        <v>0</v>
      </c>
      <c r="BB119" s="691">
        <v>0</v>
      </c>
      <c r="BC119" s="691">
        <v>0</v>
      </c>
      <c r="BD119" s="691">
        <v>0</v>
      </c>
      <c r="BE119" s="691">
        <v>0</v>
      </c>
      <c r="BF119" s="691">
        <v>0</v>
      </c>
      <c r="BG119" s="691">
        <v>0</v>
      </c>
      <c r="BH119" s="691">
        <v>0</v>
      </c>
      <c r="BI119" s="691">
        <v>0</v>
      </c>
      <c r="BJ119" s="691">
        <v>0</v>
      </c>
      <c r="BK119" s="691">
        <v>0</v>
      </c>
      <c r="BL119" s="691">
        <v>0</v>
      </c>
      <c r="BM119" s="691">
        <v>0</v>
      </c>
      <c r="BN119" s="691">
        <v>0</v>
      </c>
      <c r="BO119" s="691">
        <v>0</v>
      </c>
      <c r="BP119" s="691">
        <v>0</v>
      </c>
      <c r="BQ119" s="691">
        <v>0</v>
      </c>
      <c r="BR119" s="691">
        <v>0</v>
      </c>
      <c r="BS119" s="691">
        <v>0</v>
      </c>
      <c r="BT119" s="692">
        <v>0</v>
      </c>
    </row>
    <row r="120" spans="2:72" hidden="1" outlineLevel="1">
      <c r="B120" s="752" t="s">
        <v>208</v>
      </c>
      <c r="C120" s="752" t="s">
        <v>490</v>
      </c>
      <c r="D120" s="752" t="s">
        <v>491</v>
      </c>
      <c r="E120" s="752" t="s">
        <v>733</v>
      </c>
      <c r="F120" s="752" t="s">
        <v>490</v>
      </c>
      <c r="G120" s="752" t="s">
        <v>739</v>
      </c>
      <c r="H120" s="752">
        <v>2013</v>
      </c>
      <c r="I120" s="639" t="s">
        <v>569</v>
      </c>
      <c r="J120" s="639" t="s">
        <v>585</v>
      </c>
      <c r="K120" s="628"/>
      <c r="L120" s="690">
        <v>0</v>
      </c>
      <c r="M120" s="691">
        <v>0</v>
      </c>
      <c r="N120" s="691">
        <v>146.30000000000001</v>
      </c>
      <c r="O120" s="691">
        <v>146.30000000000001</v>
      </c>
      <c r="P120" s="691">
        <v>34.4</v>
      </c>
      <c r="Q120" s="691">
        <v>34.4</v>
      </c>
      <c r="R120" s="691">
        <v>34.4</v>
      </c>
      <c r="S120" s="691">
        <v>34.4</v>
      </c>
      <c r="T120" s="691">
        <v>34.4</v>
      </c>
      <c r="U120" s="691">
        <v>34.4</v>
      </c>
      <c r="V120" s="691">
        <v>34.4</v>
      </c>
      <c r="W120" s="691">
        <v>34.4</v>
      </c>
      <c r="X120" s="691">
        <v>0</v>
      </c>
      <c r="Y120" s="691">
        <v>0</v>
      </c>
      <c r="Z120" s="691">
        <v>0</v>
      </c>
      <c r="AA120" s="691">
        <v>0</v>
      </c>
      <c r="AB120" s="691">
        <v>0</v>
      </c>
      <c r="AC120" s="691">
        <v>0</v>
      </c>
      <c r="AD120" s="691">
        <v>0</v>
      </c>
      <c r="AE120" s="691">
        <v>0</v>
      </c>
      <c r="AF120" s="691">
        <v>0</v>
      </c>
      <c r="AG120" s="691">
        <v>0</v>
      </c>
      <c r="AH120" s="691">
        <v>0</v>
      </c>
      <c r="AI120" s="691">
        <v>0</v>
      </c>
      <c r="AJ120" s="691">
        <v>0</v>
      </c>
      <c r="AK120" s="691">
        <v>0</v>
      </c>
      <c r="AL120" s="691">
        <v>0</v>
      </c>
      <c r="AM120" s="691">
        <v>0</v>
      </c>
      <c r="AN120" s="691">
        <v>0</v>
      </c>
      <c r="AO120" s="692">
        <v>0</v>
      </c>
      <c r="AP120" s="628"/>
      <c r="AQ120" s="690">
        <v>0</v>
      </c>
      <c r="AR120" s="691">
        <v>0</v>
      </c>
      <c r="AS120" s="691">
        <v>911587</v>
      </c>
      <c r="AT120" s="691">
        <v>911587</v>
      </c>
      <c r="AU120" s="691">
        <v>16387</v>
      </c>
      <c r="AV120" s="691">
        <v>16387</v>
      </c>
      <c r="AW120" s="691">
        <v>16387</v>
      </c>
      <c r="AX120" s="691">
        <v>16387</v>
      </c>
      <c r="AY120" s="691">
        <v>16387</v>
      </c>
      <c r="AZ120" s="691">
        <v>16387</v>
      </c>
      <c r="BA120" s="691">
        <v>16387</v>
      </c>
      <c r="BB120" s="691">
        <v>16387</v>
      </c>
      <c r="BC120" s="691">
        <v>0</v>
      </c>
      <c r="BD120" s="691">
        <v>0</v>
      </c>
      <c r="BE120" s="691">
        <v>0</v>
      </c>
      <c r="BF120" s="691">
        <v>0</v>
      </c>
      <c r="BG120" s="691">
        <v>0</v>
      </c>
      <c r="BH120" s="691">
        <v>0</v>
      </c>
      <c r="BI120" s="691">
        <v>0</v>
      </c>
      <c r="BJ120" s="691">
        <v>0</v>
      </c>
      <c r="BK120" s="691">
        <v>0</v>
      </c>
      <c r="BL120" s="691">
        <v>0</v>
      </c>
      <c r="BM120" s="691">
        <v>0</v>
      </c>
      <c r="BN120" s="691">
        <v>0</v>
      </c>
      <c r="BO120" s="691">
        <v>0</v>
      </c>
      <c r="BP120" s="691">
        <v>0</v>
      </c>
      <c r="BQ120" s="691">
        <v>0</v>
      </c>
      <c r="BR120" s="691">
        <v>0</v>
      </c>
      <c r="BS120" s="691">
        <v>0</v>
      </c>
      <c r="BT120" s="692">
        <v>0</v>
      </c>
    </row>
    <row r="121" spans="2:72" hidden="1" outlineLevel="1">
      <c r="B121" s="752" t="s">
        <v>208</v>
      </c>
      <c r="C121" s="752" t="s">
        <v>735</v>
      </c>
      <c r="D121" s="752" t="s">
        <v>753</v>
      </c>
      <c r="E121" s="752" t="s">
        <v>733</v>
      </c>
      <c r="F121" s="752" t="s">
        <v>736</v>
      </c>
      <c r="G121" s="752" t="s">
        <v>734</v>
      </c>
      <c r="H121" s="752">
        <v>2013</v>
      </c>
      <c r="I121" s="639" t="s">
        <v>569</v>
      </c>
      <c r="J121" s="639" t="s">
        <v>585</v>
      </c>
      <c r="K121" s="628"/>
      <c r="L121" s="690">
        <v>0</v>
      </c>
      <c r="M121" s="691">
        <v>0</v>
      </c>
      <c r="N121" s="691">
        <v>185.5942</v>
      </c>
      <c r="O121" s="691">
        <v>0</v>
      </c>
      <c r="P121" s="691">
        <v>0</v>
      </c>
      <c r="Q121" s="691">
        <v>0</v>
      </c>
      <c r="R121" s="691">
        <v>0</v>
      </c>
      <c r="S121" s="691">
        <v>0</v>
      </c>
      <c r="T121" s="691">
        <v>0</v>
      </c>
      <c r="U121" s="691">
        <v>0</v>
      </c>
      <c r="V121" s="691">
        <v>0</v>
      </c>
      <c r="W121" s="691">
        <v>0</v>
      </c>
      <c r="X121" s="691">
        <v>0</v>
      </c>
      <c r="Y121" s="691">
        <v>0</v>
      </c>
      <c r="Z121" s="691">
        <v>0</v>
      </c>
      <c r="AA121" s="691">
        <v>0</v>
      </c>
      <c r="AB121" s="691">
        <v>0</v>
      </c>
      <c r="AC121" s="691">
        <v>0</v>
      </c>
      <c r="AD121" s="691">
        <v>0</v>
      </c>
      <c r="AE121" s="691">
        <v>0</v>
      </c>
      <c r="AF121" s="691">
        <v>0</v>
      </c>
      <c r="AG121" s="691">
        <v>0</v>
      </c>
      <c r="AH121" s="691">
        <v>0</v>
      </c>
      <c r="AI121" s="691">
        <v>0</v>
      </c>
      <c r="AJ121" s="691">
        <v>0</v>
      </c>
      <c r="AK121" s="691">
        <v>0</v>
      </c>
      <c r="AL121" s="691">
        <v>0</v>
      </c>
      <c r="AM121" s="691">
        <v>0</v>
      </c>
      <c r="AN121" s="691">
        <v>0</v>
      </c>
      <c r="AO121" s="692">
        <v>0</v>
      </c>
      <c r="AP121" s="628"/>
      <c r="AQ121" s="690">
        <v>0</v>
      </c>
      <c r="AR121" s="691">
        <v>0</v>
      </c>
      <c r="AS121" s="691">
        <v>-7281.3760000000002</v>
      </c>
      <c r="AT121" s="691">
        <v>0</v>
      </c>
      <c r="AU121" s="691">
        <v>0</v>
      </c>
      <c r="AV121" s="691">
        <v>0</v>
      </c>
      <c r="AW121" s="691">
        <v>0</v>
      </c>
      <c r="AX121" s="691">
        <v>0</v>
      </c>
      <c r="AY121" s="691">
        <v>0</v>
      </c>
      <c r="AZ121" s="691">
        <v>0</v>
      </c>
      <c r="BA121" s="691">
        <v>0</v>
      </c>
      <c r="BB121" s="691">
        <v>0</v>
      </c>
      <c r="BC121" s="691">
        <v>0</v>
      </c>
      <c r="BD121" s="691">
        <v>0</v>
      </c>
      <c r="BE121" s="691">
        <v>0</v>
      </c>
      <c r="BF121" s="691">
        <v>0</v>
      </c>
      <c r="BG121" s="691">
        <v>0</v>
      </c>
      <c r="BH121" s="691">
        <v>0</v>
      </c>
      <c r="BI121" s="691">
        <v>0</v>
      </c>
      <c r="BJ121" s="691">
        <v>0</v>
      </c>
      <c r="BK121" s="691">
        <v>0</v>
      </c>
      <c r="BL121" s="691">
        <v>0</v>
      </c>
      <c r="BM121" s="691">
        <v>0</v>
      </c>
      <c r="BN121" s="691">
        <v>0</v>
      </c>
      <c r="BO121" s="691">
        <v>0</v>
      </c>
      <c r="BP121" s="691">
        <v>0</v>
      </c>
      <c r="BQ121" s="691">
        <v>0</v>
      </c>
      <c r="BR121" s="691">
        <v>0</v>
      </c>
      <c r="BS121" s="691">
        <v>0</v>
      </c>
      <c r="BT121" s="692">
        <v>0</v>
      </c>
    </row>
    <row r="122" spans="2:72" hidden="1" outlineLevel="1">
      <c r="B122" s="752" t="s">
        <v>208</v>
      </c>
      <c r="C122" s="752" t="s">
        <v>744</v>
      </c>
      <c r="D122" s="752" t="s">
        <v>753</v>
      </c>
      <c r="E122" s="752" t="s">
        <v>733</v>
      </c>
      <c r="F122" s="752" t="s">
        <v>744</v>
      </c>
      <c r="G122" s="752" t="s">
        <v>734</v>
      </c>
      <c r="H122" s="752">
        <v>2013</v>
      </c>
      <c r="I122" s="639" t="s">
        <v>569</v>
      </c>
      <c r="J122" s="639" t="s">
        <v>585</v>
      </c>
      <c r="K122" s="628"/>
      <c r="L122" s="690">
        <v>0</v>
      </c>
      <c r="M122" s="691">
        <v>0</v>
      </c>
      <c r="N122" s="691">
        <v>78.714740000000006</v>
      </c>
      <c r="O122" s="691">
        <v>0</v>
      </c>
      <c r="P122" s="691">
        <v>0</v>
      </c>
      <c r="Q122" s="691">
        <v>0</v>
      </c>
      <c r="R122" s="691">
        <v>0</v>
      </c>
      <c r="S122" s="691">
        <v>0</v>
      </c>
      <c r="T122" s="691">
        <v>0</v>
      </c>
      <c r="U122" s="691">
        <v>0</v>
      </c>
      <c r="V122" s="691">
        <v>0</v>
      </c>
      <c r="W122" s="691">
        <v>0</v>
      </c>
      <c r="X122" s="691">
        <v>0</v>
      </c>
      <c r="Y122" s="691">
        <v>0</v>
      </c>
      <c r="Z122" s="691">
        <v>0</v>
      </c>
      <c r="AA122" s="691">
        <v>0</v>
      </c>
      <c r="AB122" s="691">
        <v>0</v>
      </c>
      <c r="AC122" s="691">
        <v>0</v>
      </c>
      <c r="AD122" s="691">
        <v>0</v>
      </c>
      <c r="AE122" s="691">
        <v>0</v>
      </c>
      <c r="AF122" s="691">
        <v>0</v>
      </c>
      <c r="AG122" s="691">
        <v>0</v>
      </c>
      <c r="AH122" s="691">
        <v>0</v>
      </c>
      <c r="AI122" s="691">
        <v>0</v>
      </c>
      <c r="AJ122" s="691">
        <v>0</v>
      </c>
      <c r="AK122" s="691">
        <v>0</v>
      </c>
      <c r="AL122" s="691">
        <v>0</v>
      </c>
      <c r="AM122" s="691">
        <v>0</v>
      </c>
      <c r="AN122" s="691">
        <v>0</v>
      </c>
      <c r="AO122" s="692">
        <v>0</v>
      </c>
      <c r="AP122" s="628"/>
      <c r="AQ122" s="690">
        <v>0</v>
      </c>
      <c r="AR122" s="691">
        <v>0</v>
      </c>
      <c r="AS122" s="691">
        <v>3046.6030000000001</v>
      </c>
      <c r="AT122" s="691">
        <v>0</v>
      </c>
      <c r="AU122" s="691">
        <v>0</v>
      </c>
      <c r="AV122" s="691">
        <v>0</v>
      </c>
      <c r="AW122" s="691">
        <v>0</v>
      </c>
      <c r="AX122" s="691">
        <v>0</v>
      </c>
      <c r="AY122" s="691">
        <v>0</v>
      </c>
      <c r="AZ122" s="691">
        <v>0</v>
      </c>
      <c r="BA122" s="691">
        <v>0</v>
      </c>
      <c r="BB122" s="691">
        <v>0</v>
      </c>
      <c r="BC122" s="691">
        <v>0</v>
      </c>
      <c r="BD122" s="691">
        <v>0</v>
      </c>
      <c r="BE122" s="691">
        <v>0</v>
      </c>
      <c r="BF122" s="691">
        <v>0</v>
      </c>
      <c r="BG122" s="691">
        <v>0</v>
      </c>
      <c r="BH122" s="691">
        <v>0</v>
      </c>
      <c r="BI122" s="691">
        <v>0</v>
      </c>
      <c r="BJ122" s="691">
        <v>0</v>
      </c>
      <c r="BK122" s="691">
        <v>0</v>
      </c>
      <c r="BL122" s="691">
        <v>0</v>
      </c>
      <c r="BM122" s="691">
        <v>0</v>
      </c>
      <c r="BN122" s="691">
        <v>0</v>
      </c>
      <c r="BO122" s="691">
        <v>0</v>
      </c>
      <c r="BP122" s="691">
        <v>0</v>
      </c>
      <c r="BQ122" s="691">
        <v>0</v>
      </c>
      <c r="BR122" s="691">
        <v>0</v>
      </c>
      <c r="BS122" s="691">
        <v>0</v>
      </c>
      <c r="BT122" s="692">
        <v>0</v>
      </c>
    </row>
    <row r="123" spans="2:72" hidden="1" outlineLevel="1">
      <c r="B123" s="752" t="s">
        <v>208</v>
      </c>
      <c r="C123" s="752" t="s">
        <v>731</v>
      </c>
      <c r="D123" s="752" t="s">
        <v>1</v>
      </c>
      <c r="E123" s="752" t="s">
        <v>733</v>
      </c>
      <c r="F123" s="752" t="s">
        <v>29</v>
      </c>
      <c r="G123" s="752" t="s">
        <v>739</v>
      </c>
      <c r="H123" s="752">
        <v>2013</v>
      </c>
      <c r="I123" s="639" t="s">
        <v>569</v>
      </c>
      <c r="J123" s="639" t="s">
        <v>585</v>
      </c>
      <c r="K123" s="628"/>
      <c r="L123" s="690">
        <v>0</v>
      </c>
      <c r="M123" s="691">
        <v>0</v>
      </c>
      <c r="N123" s="691">
        <v>1.4252908403464281E-2</v>
      </c>
      <c r="O123" s="691">
        <v>1.4252908403464281E-2</v>
      </c>
      <c r="P123" s="691">
        <v>1.4252908403464281E-2</v>
      </c>
      <c r="Q123" s="691">
        <v>1.4252908403464281E-2</v>
      </c>
      <c r="R123" s="691">
        <v>7.918396704130734E-3</v>
      </c>
      <c r="S123" s="691">
        <v>0</v>
      </c>
      <c r="T123" s="691">
        <v>0</v>
      </c>
      <c r="U123" s="691">
        <v>0</v>
      </c>
      <c r="V123" s="691">
        <v>0</v>
      </c>
      <c r="W123" s="691">
        <v>0</v>
      </c>
      <c r="X123" s="691">
        <v>0</v>
      </c>
      <c r="Y123" s="691">
        <v>0</v>
      </c>
      <c r="Z123" s="691">
        <v>0</v>
      </c>
      <c r="AA123" s="691">
        <v>0</v>
      </c>
      <c r="AB123" s="691">
        <v>0</v>
      </c>
      <c r="AC123" s="691">
        <v>0</v>
      </c>
      <c r="AD123" s="691">
        <v>0</v>
      </c>
      <c r="AE123" s="691">
        <v>0</v>
      </c>
      <c r="AF123" s="691">
        <v>0</v>
      </c>
      <c r="AG123" s="691">
        <v>0</v>
      </c>
      <c r="AH123" s="691">
        <v>0</v>
      </c>
      <c r="AI123" s="691">
        <v>0</v>
      </c>
      <c r="AJ123" s="691">
        <v>0</v>
      </c>
      <c r="AK123" s="691">
        <v>0</v>
      </c>
      <c r="AL123" s="691">
        <v>0</v>
      </c>
      <c r="AM123" s="691">
        <v>0</v>
      </c>
      <c r="AN123" s="691">
        <v>0</v>
      </c>
      <c r="AO123" s="692">
        <v>0</v>
      </c>
      <c r="AP123" s="628"/>
      <c r="AQ123" s="690">
        <v>0</v>
      </c>
      <c r="AR123" s="691">
        <v>0</v>
      </c>
      <c r="AS123" s="691">
        <v>99.743545667707167</v>
      </c>
      <c r="AT123" s="691">
        <v>99.743545667707167</v>
      </c>
      <c r="AU123" s="691">
        <v>99.743545667707167</v>
      </c>
      <c r="AV123" s="691">
        <v>99.743545667707167</v>
      </c>
      <c r="AW123" s="691">
        <v>53.87807940568262</v>
      </c>
      <c r="AX123" s="691">
        <v>0</v>
      </c>
      <c r="AY123" s="691">
        <v>0</v>
      </c>
      <c r="AZ123" s="691">
        <v>0</v>
      </c>
      <c r="BA123" s="691">
        <v>0</v>
      </c>
      <c r="BB123" s="691">
        <v>0</v>
      </c>
      <c r="BC123" s="691">
        <v>0</v>
      </c>
      <c r="BD123" s="691">
        <v>0</v>
      </c>
      <c r="BE123" s="691">
        <v>0</v>
      </c>
      <c r="BF123" s="691">
        <v>0</v>
      </c>
      <c r="BG123" s="691">
        <v>0</v>
      </c>
      <c r="BH123" s="691">
        <v>0</v>
      </c>
      <c r="BI123" s="691">
        <v>0</v>
      </c>
      <c r="BJ123" s="691">
        <v>0</v>
      </c>
      <c r="BK123" s="691">
        <v>0</v>
      </c>
      <c r="BL123" s="691">
        <v>0</v>
      </c>
      <c r="BM123" s="691">
        <v>0</v>
      </c>
      <c r="BN123" s="691">
        <v>0</v>
      </c>
      <c r="BO123" s="691">
        <v>0</v>
      </c>
      <c r="BP123" s="691">
        <v>0</v>
      </c>
      <c r="BQ123" s="691">
        <v>0</v>
      </c>
      <c r="BR123" s="691">
        <v>0</v>
      </c>
      <c r="BS123" s="691">
        <v>0</v>
      </c>
      <c r="BT123" s="692">
        <v>0</v>
      </c>
    </row>
    <row r="124" spans="2:72" hidden="1" outlineLevel="1">
      <c r="B124" s="752" t="s">
        <v>208</v>
      </c>
      <c r="C124" s="752" t="s">
        <v>735</v>
      </c>
      <c r="D124" s="752" t="s">
        <v>20</v>
      </c>
      <c r="E124" s="752" t="s">
        <v>733</v>
      </c>
      <c r="F124" s="752" t="s">
        <v>738</v>
      </c>
      <c r="G124" s="752" t="s">
        <v>739</v>
      </c>
      <c r="H124" s="752">
        <v>2013</v>
      </c>
      <c r="I124" s="639" t="s">
        <v>570</v>
      </c>
      <c r="J124" s="639" t="s">
        <v>578</v>
      </c>
      <c r="K124" s="628"/>
      <c r="L124" s="690">
        <v>0</v>
      </c>
      <c r="M124" s="691">
        <v>0</v>
      </c>
      <c r="N124" s="691">
        <v>2.3380121E-2</v>
      </c>
      <c r="O124" s="691">
        <v>2.3380121E-2</v>
      </c>
      <c r="P124" s="691">
        <v>2.3380121E-2</v>
      </c>
      <c r="Q124" s="691">
        <v>2.3380121E-2</v>
      </c>
      <c r="R124" s="691">
        <v>0</v>
      </c>
      <c r="S124" s="691">
        <v>0</v>
      </c>
      <c r="T124" s="691">
        <v>0</v>
      </c>
      <c r="U124" s="691">
        <v>0</v>
      </c>
      <c r="V124" s="691">
        <v>0</v>
      </c>
      <c r="W124" s="691">
        <v>0</v>
      </c>
      <c r="X124" s="691">
        <v>0</v>
      </c>
      <c r="Y124" s="691">
        <v>0</v>
      </c>
      <c r="Z124" s="691">
        <v>0</v>
      </c>
      <c r="AA124" s="691">
        <v>0</v>
      </c>
      <c r="AB124" s="691">
        <v>0</v>
      </c>
      <c r="AC124" s="691">
        <v>0</v>
      </c>
      <c r="AD124" s="691">
        <v>0</v>
      </c>
      <c r="AE124" s="691">
        <v>0</v>
      </c>
      <c r="AF124" s="691">
        <v>0</v>
      </c>
      <c r="AG124" s="691">
        <v>0</v>
      </c>
      <c r="AH124" s="691">
        <v>0</v>
      </c>
      <c r="AI124" s="691">
        <v>0</v>
      </c>
      <c r="AJ124" s="691">
        <v>0</v>
      </c>
      <c r="AK124" s="691">
        <v>0</v>
      </c>
      <c r="AL124" s="691">
        <v>0</v>
      </c>
      <c r="AM124" s="691">
        <v>0</v>
      </c>
      <c r="AN124" s="691">
        <v>0</v>
      </c>
      <c r="AO124" s="692">
        <v>0</v>
      </c>
      <c r="AP124" s="628"/>
      <c r="AQ124" s="690">
        <v>0</v>
      </c>
      <c r="AR124" s="691">
        <v>0</v>
      </c>
      <c r="AS124" s="691">
        <v>128.54037959999999</v>
      </c>
      <c r="AT124" s="691">
        <v>128.54037959999999</v>
      </c>
      <c r="AU124" s="691">
        <v>128.54037959999999</v>
      </c>
      <c r="AV124" s="691">
        <v>128.54037959999999</v>
      </c>
      <c r="AW124" s="691">
        <v>0</v>
      </c>
      <c r="AX124" s="691">
        <v>0</v>
      </c>
      <c r="AY124" s="691">
        <v>0</v>
      </c>
      <c r="AZ124" s="691">
        <v>0</v>
      </c>
      <c r="BA124" s="691">
        <v>0</v>
      </c>
      <c r="BB124" s="691">
        <v>0</v>
      </c>
      <c r="BC124" s="691">
        <v>0</v>
      </c>
      <c r="BD124" s="691">
        <v>0</v>
      </c>
      <c r="BE124" s="691">
        <v>0</v>
      </c>
      <c r="BF124" s="691">
        <v>0</v>
      </c>
      <c r="BG124" s="691">
        <v>0</v>
      </c>
      <c r="BH124" s="691">
        <v>0</v>
      </c>
      <c r="BI124" s="691">
        <v>0</v>
      </c>
      <c r="BJ124" s="691">
        <v>0</v>
      </c>
      <c r="BK124" s="691">
        <v>0</v>
      </c>
      <c r="BL124" s="691">
        <v>0</v>
      </c>
      <c r="BM124" s="691">
        <v>0</v>
      </c>
      <c r="BN124" s="691">
        <v>0</v>
      </c>
      <c r="BO124" s="691">
        <v>0</v>
      </c>
      <c r="BP124" s="691">
        <v>0</v>
      </c>
      <c r="BQ124" s="691">
        <v>0</v>
      </c>
      <c r="BR124" s="691">
        <v>0</v>
      </c>
      <c r="BS124" s="691">
        <v>0</v>
      </c>
      <c r="BT124" s="692">
        <v>0</v>
      </c>
    </row>
    <row r="125" spans="2:72" hidden="1" outlineLevel="1">
      <c r="B125" s="752" t="s">
        <v>208</v>
      </c>
      <c r="C125" s="752" t="s">
        <v>735</v>
      </c>
      <c r="D125" s="752" t="s">
        <v>20</v>
      </c>
      <c r="E125" s="752" t="s">
        <v>733</v>
      </c>
      <c r="F125" s="752" t="s">
        <v>738</v>
      </c>
      <c r="G125" s="752" t="s">
        <v>739</v>
      </c>
      <c r="H125" s="752">
        <v>2013</v>
      </c>
      <c r="I125" s="639" t="s">
        <v>570</v>
      </c>
      <c r="J125" s="639" t="s">
        <v>578</v>
      </c>
      <c r="K125" s="628"/>
      <c r="L125" s="690">
        <v>0</v>
      </c>
      <c r="M125" s="691">
        <v>0</v>
      </c>
      <c r="N125" s="691">
        <v>8.8185216529999995</v>
      </c>
      <c r="O125" s="691">
        <v>8.8185216529999995</v>
      </c>
      <c r="P125" s="691">
        <v>8.8185216529999995</v>
      </c>
      <c r="Q125" s="691">
        <v>8.8185216529999995</v>
      </c>
      <c r="R125" s="691">
        <v>0</v>
      </c>
      <c r="S125" s="691">
        <v>0</v>
      </c>
      <c r="T125" s="691">
        <v>0</v>
      </c>
      <c r="U125" s="691">
        <v>0</v>
      </c>
      <c r="V125" s="691">
        <v>0</v>
      </c>
      <c r="W125" s="691">
        <v>0</v>
      </c>
      <c r="X125" s="691">
        <v>0</v>
      </c>
      <c r="Y125" s="691">
        <v>0</v>
      </c>
      <c r="Z125" s="691">
        <v>0</v>
      </c>
      <c r="AA125" s="691">
        <v>0</v>
      </c>
      <c r="AB125" s="691">
        <v>0</v>
      </c>
      <c r="AC125" s="691">
        <v>0</v>
      </c>
      <c r="AD125" s="691">
        <v>0</v>
      </c>
      <c r="AE125" s="691">
        <v>0</v>
      </c>
      <c r="AF125" s="691">
        <v>0</v>
      </c>
      <c r="AG125" s="691">
        <v>0</v>
      </c>
      <c r="AH125" s="691">
        <v>0</v>
      </c>
      <c r="AI125" s="691">
        <v>0</v>
      </c>
      <c r="AJ125" s="691">
        <v>0</v>
      </c>
      <c r="AK125" s="691">
        <v>0</v>
      </c>
      <c r="AL125" s="691">
        <v>0</v>
      </c>
      <c r="AM125" s="691">
        <v>0</v>
      </c>
      <c r="AN125" s="691">
        <v>0</v>
      </c>
      <c r="AO125" s="692">
        <v>0</v>
      </c>
      <c r="AP125" s="628"/>
      <c r="AQ125" s="690">
        <v>0</v>
      </c>
      <c r="AR125" s="691">
        <v>0</v>
      </c>
      <c r="AS125" s="691">
        <v>48482.902889999998</v>
      </c>
      <c r="AT125" s="691">
        <v>48482.902889999998</v>
      </c>
      <c r="AU125" s="691">
        <v>48482.902889999998</v>
      </c>
      <c r="AV125" s="691">
        <v>48482.902889999998</v>
      </c>
      <c r="AW125" s="691">
        <v>0</v>
      </c>
      <c r="AX125" s="691">
        <v>0</v>
      </c>
      <c r="AY125" s="691">
        <v>0</v>
      </c>
      <c r="AZ125" s="691">
        <v>0</v>
      </c>
      <c r="BA125" s="691">
        <v>0</v>
      </c>
      <c r="BB125" s="691">
        <v>0</v>
      </c>
      <c r="BC125" s="691">
        <v>0</v>
      </c>
      <c r="BD125" s="691">
        <v>0</v>
      </c>
      <c r="BE125" s="691">
        <v>0</v>
      </c>
      <c r="BF125" s="691">
        <v>0</v>
      </c>
      <c r="BG125" s="691">
        <v>0</v>
      </c>
      <c r="BH125" s="691">
        <v>0</v>
      </c>
      <c r="BI125" s="691">
        <v>0</v>
      </c>
      <c r="BJ125" s="691">
        <v>0</v>
      </c>
      <c r="BK125" s="691">
        <v>0</v>
      </c>
      <c r="BL125" s="691">
        <v>0</v>
      </c>
      <c r="BM125" s="691">
        <v>0</v>
      </c>
      <c r="BN125" s="691">
        <v>0</v>
      </c>
      <c r="BO125" s="691">
        <v>0</v>
      </c>
      <c r="BP125" s="691">
        <v>0</v>
      </c>
      <c r="BQ125" s="691">
        <v>0</v>
      </c>
      <c r="BR125" s="691">
        <v>0</v>
      </c>
      <c r="BS125" s="691">
        <v>0</v>
      </c>
      <c r="BT125" s="692">
        <v>0</v>
      </c>
    </row>
    <row r="126" spans="2:72" hidden="1" outlineLevel="1">
      <c r="B126" s="752" t="s">
        <v>208</v>
      </c>
      <c r="C126" s="752" t="s">
        <v>735</v>
      </c>
      <c r="D126" s="752" t="s">
        <v>17</v>
      </c>
      <c r="E126" s="752" t="s">
        <v>733</v>
      </c>
      <c r="F126" s="752" t="s">
        <v>738</v>
      </c>
      <c r="G126" s="752" t="s">
        <v>739</v>
      </c>
      <c r="H126" s="752">
        <v>2013</v>
      </c>
      <c r="I126" s="639" t="s">
        <v>570</v>
      </c>
      <c r="J126" s="639" t="s">
        <v>578</v>
      </c>
      <c r="K126" s="628"/>
      <c r="L126" s="690">
        <v>0</v>
      </c>
      <c r="M126" s="691">
        <v>0</v>
      </c>
      <c r="N126" s="691">
        <v>17.527767950000001</v>
      </c>
      <c r="O126" s="691">
        <v>17.527767950000001</v>
      </c>
      <c r="P126" s="691">
        <v>17.527767950000001</v>
      </c>
      <c r="Q126" s="691">
        <v>17.527767950000001</v>
      </c>
      <c r="R126" s="691">
        <v>17.527767950000001</v>
      </c>
      <c r="S126" s="691">
        <v>17.527767950000001</v>
      </c>
      <c r="T126" s="691">
        <v>17.527767950000001</v>
      </c>
      <c r="U126" s="691">
        <v>17.527767950000001</v>
      </c>
      <c r="V126" s="691">
        <v>17.527767950000001</v>
      </c>
      <c r="W126" s="691">
        <v>17.527767950000001</v>
      </c>
      <c r="X126" s="691">
        <v>17.527767950000001</v>
      </c>
      <c r="Y126" s="691">
        <v>17.527767950000001</v>
      </c>
      <c r="Z126" s="691">
        <v>17.527767950000001</v>
      </c>
      <c r="AA126" s="691">
        <v>17.527767950000001</v>
      </c>
      <c r="AB126" s="691">
        <v>17.527767950000001</v>
      </c>
      <c r="AC126" s="691">
        <v>1.379108561</v>
      </c>
      <c r="AD126" s="691">
        <v>1.379108561</v>
      </c>
      <c r="AE126" s="691">
        <v>0</v>
      </c>
      <c r="AF126" s="691">
        <v>0</v>
      </c>
      <c r="AG126" s="691">
        <v>0</v>
      </c>
      <c r="AH126" s="691">
        <v>0</v>
      </c>
      <c r="AI126" s="691">
        <v>0</v>
      </c>
      <c r="AJ126" s="691">
        <v>0</v>
      </c>
      <c r="AK126" s="691">
        <v>0</v>
      </c>
      <c r="AL126" s="691">
        <v>0</v>
      </c>
      <c r="AM126" s="691">
        <v>0</v>
      </c>
      <c r="AN126" s="691">
        <v>0</v>
      </c>
      <c r="AO126" s="692">
        <v>0</v>
      </c>
      <c r="AP126" s="628"/>
      <c r="AQ126" s="690">
        <v>0</v>
      </c>
      <c r="AR126" s="691">
        <v>0</v>
      </c>
      <c r="AS126" s="691">
        <v>107575.724</v>
      </c>
      <c r="AT126" s="691">
        <v>107575.724</v>
      </c>
      <c r="AU126" s="691">
        <v>107575.724</v>
      </c>
      <c r="AV126" s="691">
        <v>107575.724</v>
      </c>
      <c r="AW126" s="691">
        <v>107575.724</v>
      </c>
      <c r="AX126" s="691">
        <v>107575.724</v>
      </c>
      <c r="AY126" s="691">
        <v>107575.724</v>
      </c>
      <c r="AZ126" s="691">
        <v>107575.724</v>
      </c>
      <c r="BA126" s="691">
        <v>107575.724</v>
      </c>
      <c r="BB126" s="691">
        <v>107575.724</v>
      </c>
      <c r="BC126" s="691">
        <v>107575.724</v>
      </c>
      <c r="BD126" s="691">
        <v>107575.724</v>
      </c>
      <c r="BE126" s="691">
        <v>107575.724</v>
      </c>
      <c r="BF126" s="691">
        <v>107575.724</v>
      </c>
      <c r="BG126" s="691">
        <v>107575.724</v>
      </c>
      <c r="BH126" s="691">
        <v>10485.504000000001</v>
      </c>
      <c r="BI126" s="691">
        <v>10485.504000000001</v>
      </c>
      <c r="BJ126" s="691">
        <v>0</v>
      </c>
      <c r="BK126" s="691">
        <v>0</v>
      </c>
      <c r="BL126" s="691">
        <v>0</v>
      </c>
      <c r="BM126" s="691">
        <v>0</v>
      </c>
      <c r="BN126" s="691">
        <v>0</v>
      </c>
      <c r="BO126" s="691">
        <v>0</v>
      </c>
      <c r="BP126" s="691">
        <v>0</v>
      </c>
      <c r="BQ126" s="691">
        <v>0</v>
      </c>
      <c r="BR126" s="691">
        <v>0</v>
      </c>
      <c r="BS126" s="691">
        <v>0</v>
      </c>
      <c r="BT126" s="692">
        <v>0</v>
      </c>
    </row>
    <row r="127" spans="2:72" hidden="1" outlineLevel="1">
      <c r="B127" s="752" t="s">
        <v>208</v>
      </c>
      <c r="C127" s="752" t="s">
        <v>735</v>
      </c>
      <c r="D127" s="752" t="s">
        <v>22</v>
      </c>
      <c r="E127" s="752" t="s">
        <v>733</v>
      </c>
      <c r="F127" s="752" t="s">
        <v>738</v>
      </c>
      <c r="G127" s="752" t="s">
        <v>739</v>
      </c>
      <c r="H127" s="752">
        <v>2013</v>
      </c>
      <c r="I127" s="639" t="s">
        <v>570</v>
      </c>
      <c r="J127" s="639" t="s">
        <v>578</v>
      </c>
      <c r="K127" s="628"/>
      <c r="L127" s="690">
        <v>0</v>
      </c>
      <c r="M127" s="691">
        <v>0</v>
      </c>
      <c r="N127" s="691">
        <v>186.59722310000001</v>
      </c>
      <c r="O127" s="691">
        <v>165.22298470000001</v>
      </c>
      <c r="P127" s="691">
        <v>165.22298470000001</v>
      </c>
      <c r="Q127" s="691">
        <v>165.22298470000001</v>
      </c>
      <c r="R127" s="691">
        <v>161.57210069999999</v>
      </c>
      <c r="S127" s="691">
        <v>159.7785275</v>
      </c>
      <c r="T127" s="691">
        <v>159.7785275</v>
      </c>
      <c r="U127" s="691">
        <v>159.67861149999999</v>
      </c>
      <c r="V127" s="691">
        <v>149.81416540000001</v>
      </c>
      <c r="W127" s="691">
        <v>140.11076080000001</v>
      </c>
      <c r="X127" s="691">
        <v>127.4135392</v>
      </c>
      <c r="Y127" s="691">
        <v>126.5850899</v>
      </c>
      <c r="Z127" s="691">
        <v>102.7722492</v>
      </c>
      <c r="AA127" s="691">
        <v>36.277081440000003</v>
      </c>
      <c r="AB127" s="691">
        <v>36.277081440000003</v>
      </c>
      <c r="AC127" s="691">
        <v>29.924359590000002</v>
      </c>
      <c r="AD127" s="691">
        <v>3.380306053</v>
      </c>
      <c r="AE127" s="691">
        <v>3.272282073</v>
      </c>
      <c r="AF127" s="691">
        <v>3.272282073</v>
      </c>
      <c r="AG127" s="691">
        <v>3.272282073</v>
      </c>
      <c r="AH127" s="691">
        <v>0</v>
      </c>
      <c r="AI127" s="691">
        <v>0</v>
      </c>
      <c r="AJ127" s="691">
        <v>0</v>
      </c>
      <c r="AK127" s="691">
        <v>0</v>
      </c>
      <c r="AL127" s="691">
        <v>0</v>
      </c>
      <c r="AM127" s="691">
        <v>0</v>
      </c>
      <c r="AN127" s="691">
        <v>0</v>
      </c>
      <c r="AO127" s="692">
        <v>0</v>
      </c>
      <c r="AP127" s="628"/>
      <c r="AQ127" s="690">
        <v>0</v>
      </c>
      <c r="AR127" s="691">
        <v>0</v>
      </c>
      <c r="AS127" s="691">
        <v>918178.35320000001</v>
      </c>
      <c r="AT127" s="691">
        <v>829306.99140000006</v>
      </c>
      <c r="AU127" s="691">
        <v>829306.99140000006</v>
      </c>
      <c r="AV127" s="691">
        <v>829306.99140000006</v>
      </c>
      <c r="AW127" s="691">
        <v>816589.17879999999</v>
      </c>
      <c r="AX127" s="691">
        <v>807485.53399999999</v>
      </c>
      <c r="AY127" s="691">
        <v>807485.53399999999</v>
      </c>
      <c r="AZ127" s="691">
        <v>805876.924</v>
      </c>
      <c r="BA127" s="691">
        <v>768683.2524</v>
      </c>
      <c r="BB127" s="691">
        <v>714063.81079999998</v>
      </c>
      <c r="BC127" s="691">
        <v>627430.37659999996</v>
      </c>
      <c r="BD127" s="691">
        <v>614092.64690000005</v>
      </c>
      <c r="BE127" s="691">
        <v>460341.30119999999</v>
      </c>
      <c r="BF127" s="691">
        <v>182694.85490000001</v>
      </c>
      <c r="BG127" s="691">
        <v>182694.85490000001</v>
      </c>
      <c r="BH127" s="691">
        <v>149454.84770000001</v>
      </c>
      <c r="BI127" s="691">
        <v>11693.203740000001</v>
      </c>
      <c r="BJ127" s="691">
        <v>11398.9439</v>
      </c>
      <c r="BK127" s="691">
        <v>11398.9439</v>
      </c>
      <c r="BL127" s="691">
        <v>11398.9439</v>
      </c>
      <c r="BM127" s="691">
        <v>0</v>
      </c>
      <c r="BN127" s="691">
        <v>0</v>
      </c>
      <c r="BO127" s="691">
        <v>0</v>
      </c>
      <c r="BP127" s="691">
        <v>0</v>
      </c>
      <c r="BQ127" s="691">
        <v>0</v>
      </c>
      <c r="BR127" s="691">
        <v>0</v>
      </c>
      <c r="BS127" s="691">
        <v>0</v>
      </c>
      <c r="BT127" s="692">
        <v>0</v>
      </c>
    </row>
    <row r="128" spans="2:72" hidden="1" outlineLevel="1">
      <c r="B128" s="752" t="s">
        <v>208</v>
      </c>
      <c r="C128" s="752" t="s">
        <v>731</v>
      </c>
      <c r="D128" s="752" t="s">
        <v>4</v>
      </c>
      <c r="E128" s="752" t="s">
        <v>733</v>
      </c>
      <c r="F128" s="752" t="s">
        <v>29</v>
      </c>
      <c r="G128" s="752" t="s">
        <v>739</v>
      </c>
      <c r="H128" s="752">
        <v>2013</v>
      </c>
      <c r="I128" s="639" t="s">
        <v>570</v>
      </c>
      <c r="J128" s="639" t="s">
        <v>578</v>
      </c>
      <c r="K128" s="628"/>
      <c r="L128" s="690">
        <v>0</v>
      </c>
      <c r="M128" s="691">
        <v>0</v>
      </c>
      <c r="N128" s="691">
        <v>2.7E-2</v>
      </c>
      <c r="O128" s="691">
        <v>2.7E-2</v>
      </c>
      <c r="P128" s="691">
        <v>2.5999999999999999E-2</v>
      </c>
      <c r="Q128" s="691">
        <v>2.3E-2</v>
      </c>
      <c r="R128" s="691">
        <v>2.3E-2</v>
      </c>
      <c r="S128" s="691">
        <v>2.3E-2</v>
      </c>
      <c r="T128" s="691">
        <v>2.3E-2</v>
      </c>
      <c r="U128" s="691">
        <v>2.3E-2</v>
      </c>
      <c r="V128" s="691">
        <v>0.02</v>
      </c>
      <c r="W128" s="691">
        <v>0.02</v>
      </c>
      <c r="X128" s="691">
        <v>1.6E-2</v>
      </c>
      <c r="Y128" s="691">
        <v>1.6E-2</v>
      </c>
      <c r="Z128" s="691">
        <v>1.6E-2</v>
      </c>
      <c r="AA128" s="691">
        <v>1.6E-2</v>
      </c>
      <c r="AB128" s="691">
        <v>1.6E-2</v>
      </c>
      <c r="AC128" s="691">
        <v>1.6E-2</v>
      </c>
      <c r="AD128" s="691">
        <v>8.0000000000000002E-3</v>
      </c>
      <c r="AE128" s="691">
        <v>8.0000000000000002E-3</v>
      </c>
      <c r="AF128" s="691">
        <v>8.0000000000000002E-3</v>
      </c>
      <c r="AG128" s="691">
        <v>8.0000000000000002E-3</v>
      </c>
      <c r="AH128" s="691">
        <v>0</v>
      </c>
      <c r="AI128" s="691">
        <v>0</v>
      </c>
      <c r="AJ128" s="691">
        <v>0</v>
      </c>
      <c r="AK128" s="691">
        <v>0</v>
      </c>
      <c r="AL128" s="691">
        <v>0</v>
      </c>
      <c r="AM128" s="691">
        <v>0</v>
      </c>
      <c r="AN128" s="691">
        <v>0</v>
      </c>
      <c r="AO128" s="692">
        <v>0</v>
      </c>
      <c r="AP128" s="628"/>
      <c r="AQ128" s="690">
        <v>0</v>
      </c>
      <c r="AR128" s="691">
        <v>0</v>
      </c>
      <c r="AS128" s="691">
        <v>385</v>
      </c>
      <c r="AT128" s="691">
        <v>385</v>
      </c>
      <c r="AU128" s="691">
        <v>366</v>
      </c>
      <c r="AV128" s="691">
        <v>316</v>
      </c>
      <c r="AW128" s="691">
        <v>316</v>
      </c>
      <c r="AX128" s="691">
        <v>316</v>
      </c>
      <c r="AY128" s="691">
        <v>316</v>
      </c>
      <c r="AZ128" s="691">
        <v>316</v>
      </c>
      <c r="BA128" s="691">
        <v>265</v>
      </c>
      <c r="BB128" s="691">
        <v>265</v>
      </c>
      <c r="BC128" s="691">
        <v>252</v>
      </c>
      <c r="BD128" s="691">
        <v>252</v>
      </c>
      <c r="BE128" s="691">
        <v>252</v>
      </c>
      <c r="BF128" s="691">
        <v>252</v>
      </c>
      <c r="BG128" s="691">
        <v>252</v>
      </c>
      <c r="BH128" s="691">
        <v>252</v>
      </c>
      <c r="BI128" s="691">
        <v>133</v>
      </c>
      <c r="BJ128" s="691">
        <v>133</v>
      </c>
      <c r="BK128" s="691">
        <v>133</v>
      </c>
      <c r="BL128" s="691">
        <v>133</v>
      </c>
      <c r="BM128" s="691">
        <v>0</v>
      </c>
      <c r="BN128" s="691">
        <v>0</v>
      </c>
      <c r="BO128" s="691">
        <v>0</v>
      </c>
      <c r="BP128" s="691">
        <v>0</v>
      </c>
      <c r="BQ128" s="691">
        <v>0</v>
      </c>
      <c r="BR128" s="691">
        <v>0</v>
      </c>
      <c r="BS128" s="691">
        <v>0</v>
      </c>
      <c r="BT128" s="692">
        <v>0</v>
      </c>
    </row>
    <row r="129" spans="2:72" hidden="1" outlineLevel="1">
      <c r="B129" s="752" t="s">
        <v>208</v>
      </c>
      <c r="C129" s="752" t="s">
        <v>749</v>
      </c>
      <c r="D129" s="752" t="s">
        <v>14</v>
      </c>
      <c r="E129" s="752" t="s">
        <v>733</v>
      </c>
      <c r="F129" s="752" t="s">
        <v>29</v>
      </c>
      <c r="G129" s="752" t="s">
        <v>739</v>
      </c>
      <c r="H129" s="752">
        <v>2013</v>
      </c>
      <c r="I129" s="639" t="s">
        <v>570</v>
      </c>
      <c r="J129" s="639" t="s">
        <v>578</v>
      </c>
      <c r="K129" s="628"/>
      <c r="L129" s="690">
        <v>0</v>
      </c>
      <c r="M129" s="691">
        <v>0</v>
      </c>
      <c r="N129" s="691">
        <v>4.1034658999999998</v>
      </c>
      <c r="O129" s="691">
        <v>4.0968427930000004</v>
      </c>
      <c r="P129" s="691">
        <v>4.0962406930000004</v>
      </c>
      <c r="Q129" s="691">
        <v>4.0001818</v>
      </c>
      <c r="R129" s="691">
        <v>3.9545607610000002</v>
      </c>
      <c r="S129" s="691">
        <v>3.9089397149999994</v>
      </c>
      <c r="T129" s="691">
        <v>3.8884207599999998</v>
      </c>
      <c r="U129" s="691">
        <v>3.8884207599999998</v>
      </c>
      <c r="V129" s="691">
        <v>3.508081185</v>
      </c>
      <c r="W129" s="691">
        <v>3.508081185</v>
      </c>
      <c r="X129" s="691">
        <v>3.1118182879999998</v>
      </c>
      <c r="Y129" s="691">
        <v>3.1118182879999998</v>
      </c>
      <c r="Z129" s="691">
        <v>2.6547019820000002</v>
      </c>
      <c r="AA129" s="691">
        <v>2.6547019820000002</v>
      </c>
      <c r="AB129" s="691">
        <v>2.4084019919999999</v>
      </c>
      <c r="AC129" s="691">
        <v>2.0772019959999999</v>
      </c>
      <c r="AD129" s="691">
        <v>2.0772019959999999</v>
      </c>
      <c r="AE129" s="691">
        <v>2.0772019959999999</v>
      </c>
      <c r="AF129" s="691">
        <v>2.0772019959999999</v>
      </c>
      <c r="AG129" s="691">
        <v>2.0772019959999999</v>
      </c>
      <c r="AH129" s="691">
        <v>0</v>
      </c>
      <c r="AI129" s="691">
        <v>0</v>
      </c>
      <c r="AJ129" s="691">
        <v>0</v>
      </c>
      <c r="AK129" s="691">
        <v>0</v>
      </c>
      <c r="AL129" s="691">
        <v>0</v>
      </c>
      <c r="AM129" s="691">
        <v>0</v>
      </c>
      <c r="AN129" s="691">
        <v>0</v>
      </c>
      <c r="AO129" s="692">
        <v>0</v>
      </c>
      <c r="AP129" s="628"/>
      <c r="AQ129" s="690">
        <v>0</v>
      </c>
      <c r="AR129" s="691">
        <v>0</v>
      </c>
      <c r="AS129" s="691">
        <v>26288.23473</v>
      </c>
      <c r="AT129" s="691">
        <v>26159.258440000001</v>
      </c>
      <c r="AU129" s="691">
        <v>26147.533319999999</v>
      </c>
      <c r="AV129" s="691">
        <v>24304.925719999999</v>
      </c>
      <c r="AW129" s="691">
        <v>23430.52245</v>
      </c>
      <c r="AX129" s="691">
        <v>22556.11924</v>
      </c>
      <c r="AY129" s="691">
        <v>22162.490280000002</v>
      </c>
      <c r="AZ129" s="691">
        <v>22100.514660000001</v>
      </c>
      <c r="BA129" s="691">
        <v>14805.994710000001</v>
      </c>
      <c r="BB129" s="691">
        <v>14805.994710000001</v>
      </c>
      <c r="BC129" s="691">
        <v>11537.49208</v>
      </c>
      <c r="BD129" s="691">
        <v>11537.49208</v>
      </c>
      <c r="BE129" s="691">
        <v>10017.49202</v>
      </c>
      <c r="BF129" s="691">
        <v>10017.49202</v>
      </c>
      <c r="BG129" s="691">
        <v>7992.4920199999997</v>
      </c>
      <c r="BH129" s="691">
        <v>5256.4920199999997</v>
      </c>
      <c r="BI129" s="691">
        <v>5256.4920199999997</v>
      </c>
      <c r="BJ129" s="691">
        <v>5256.4920199999997</v>
      </c>
      <c r="BK129" s="691">
        <v>5256.4920199999997</v>
      </c>
      <c r="BL129" s="691">
        <v>5256.4920199999997</v>
      </c>
      <c r="BM129" s="691">
        <v>0</v>
      </c>
      <c r="BN129" s="691">
        <v>0</v>
      </c>
      <c r="BO129" s="691">
        <v>0</v>
      </c>
      <c r="BP129" s="691">
        <v>0</v>
      </c>
      <c r="BQ129" s="691">
        <v>0</v>
      </c>
      <c r="BR129" s="691">
        <v>0</v>
      </c>
      <c r="BS129" s="691">
        <v>0</v>
      </c>
      <c r="BT129" s="692">
        <v>0</v>
      </c>
    </row>
    <row r="130" spans="2:72" hidden="1" outlineLevel="1">
      <c r="B130" s="752" t="s">
        <v>208</v>
      </c>
      <c r="C130" s="752" t="s">
        <v>731</v>
      </c>
      <c r="D130" s="752" t="s">
        <v>3</v>
      </c>
      <c r="E130" s="752" t="s">
        <v>733</v>
      </c>
      <c r="F130" s="752" t="s">
        <v>29</v>
      </c>
      <c r="G130" s="752" t="s">
        <v>734</v>
      </c>
      <c r="H130" s="752">
        <v>2013</v>
      </c>
      <c r="I130" s="639" t="s">
        <v>570</v>
      </c>
      <c r="J130" s="639" t="s">
        <v>578</v>
      </c>
      <c r="K130" s="628"/>
      <c r="L130" s="690">
        <v>0</v>
      </c>
      <c r="M130" s="691">
        <v>0</v>
      </c>
      <c r="N130" s="691">
        <v>17.924923391</v>
      </c>
      <c r="O130" s="691">
        <v>17.924923391</v>
      </c>
      <c r="P130" s="691">
        <v>17.924923391</v>
      </c>
      <c r="Q130" s="691">
        <v>17.924923391</v>
      </c>
      <c r="R130" s="691">
        <v>17.924923391</v>
      </c>
      <c r="S130" s="691">
        <v>17.924923391</v>
      </c>
      <c r="T130" s="691">
        <v>17.924923391</v>
      </c>
      <c r="U130" s="691">
        <v>17.924923391</v>
      </c>
      <c r="V130" s="691">
        <v>17.924923391</v>
      </c>
      <c r="W130" s="691">
        <v>17.924923391</v>
      </c>
      <c r="X130" s="691">
        <v>17.924923391</v>
      </c>
      <c r="Y130" s="691">
        <v>17.924923391</v>
      </c>
      <c r="Z130" s="691">
        <v>17.924923391</v>
      </c>
      <c r="AA130" s="691">
        <v>17.924923391</v>
      </c>
      <c r="AB130" s="691">
        <v>17.924923391</v>
      </c>
      <c r="AC130" s="691">
        <v>17.924923391</v>
      </c>
      <c r="AD130" s="691">
        <v>17.924923391</v>
      </c>
      <c r="AE130" s="691">
        <v>17.924923391</v>
      </c>
      <c r="AF130" s="691">
        <v>14.987407758000002</v>
      </c>
      <c r="AG130" s="691">
        <v>0</v>
      </c>
      <c r="AH130" s="691">
        <v>0</v>
      </c>
      <c r="AI130" s="691">
        <v>0</v>
      </c>
      <c r="AJ130" s="691">
        <v>0</v>
      </c>
      <c r="AK130" s="691">
        <v>0</v>
      </c>
      <c r="AL130" s="691">
        <v>0</v>
      </c>
      <c r="AM130" s="691">
        <v>0</v>
      </c>
      <c r="AN130" s="691">
        <v>0</v>
      </c>
      <c r="AO130" s="692">
        <v>0</v>
      </c>
      <c r="AP130" s="628"/>
      <c r="AQ130" s="690">
        <v>0</v>
      </c>
      <c r="AR130" s="691">
        <v>0</v>
      </c>
      <c r="AS130" s="691">
        <v>31728.368681300002</v>
      </c>
      <c r="AT130" s="691">
        <v>31728.368681300002</v>
      </c>
      <c r="AU130" s="691">
        <v>31728.368681300002</v>
      </c>
      <c r="AV130" s="691">
        <v>31728.368681300002</v>
      </c>
      <c r="AW130" s="691">
        <v>31728.368681300002</v>
      </c>
      <c r="AX130" s="691">
        <v>31728.368681300002</v>
      </c>
      <c r="AY130" s="691">
        <v>31728.368681300002</v>
      </c>
      <c r="AZ130" s="691">
        <v>31728.368681300002</v>
      </c>
      <c r="BA130" s="691">
        <v>31728.368681300002</v>
      </c>
      <c r="BB130" s="691">
        <v>31728.368681300002</v>
      </c>
      <c r="BC130" s="691">
        <v>31728.368681300002</v>
      </c>
      <c r="BD130" s="691">
        <v>31728.368681300002</v>
      </c>
      <c r="BE130" s="691">
        <v>31728.368681300002</v>
      </c>
      <c r="BF130" s="691">
        <v>31728.368681300002</v>
      </c>
      <c r="BG130" s="691">
        <v>31728.368681300002</v>
      </c>
      <c r="BH130" s="691">
        <v>31728.368681300002</v>
      </c>
      <c r="BI130" s="691">
        <v>31728.368681300002</v>
      </c>
      <c r="BJ130" s="691">
        <v>31728.368681300002</v>
      </c>
      <c r="BK130" s="691">
        <v>29101.482341800001</v>
      </c>
      <c r="BL130" s="691">
        <v>0</v>
      </c>
      <c r="BM130" s="691">
        <v>0</v>
      </c>
      <c r="BN130" s="691">
        <v>0</v>
      </c>
      <c r="BO130" s="691">
        <v>0</v>
      </c>
      <c r="BP130" s="691">
        <v>0</v>
      </c>
      <c r="BQ130" s="691">
        <v>0</v>
      </c>
      <c r="BR130" s="691">
        <v>0</v>
      </c>
      <c r="BS130" s="691">
        <v>0</v>
      </c>
      <c r="BT130" s="692">
        <v>0</v>
      </c>
    </row>
    <row r="131" spans="2:72" hidden="1" outlineLevel="1">
      <c r="B131" s="752" t="s">
        <v>208</v>
      </c>
      <c r="C131" s="752" t="s">
        <v>735</v>
      </c>
      <c r="D131" s="752" t="s">
        <v>737</v>
      </c>
      <c r="E131" s="752" t="s">
        <v>733</v>
      </c>
      <c r="F131" s="752" t="s">
        <v>738</v>
      </c>
      <c r="G131" s="752" t="s">
        <v>734</v>
      </c>
      <c r="H131" s="752">
        <v>2013</v>
      </c>
      <c r="I131" s="639" t="s">
        <v>570</v>
      </c>
      <c r="J131" s="639" t="s">
        <v>578</v>
      </c>
      <c r="K131" s="628"/>
      <c r="L131" s="690">
        <v>0</v>
      </c>
      <c r="M131" s="691">
        <v>0</v>
      </c>
      <c r="N131" s="691">
        <v>0</v>
      </c>
      <c r="O131" s="691">
        <v>21.332560000000001</v>
      </c>
      <c r="P131" s="691">
        <v>0</v>
      </c>
      <c r="Q131" s="691">
        <v>0</v>
      </c>
      <c r="R131" s="691">
        <v>0</v>
      </c>
      <c r="S131" s="691">
        <v>0</v>
      </c>
      <c r="T131" s="691">
        <v>0</v>
      </c>
      <c r="U131" s="691">
        <v>0</v>
      </c>
      <c r="V131" s="691">
        <v>0</v>
      </c>
      <c r="W131" s="691">
        <v>0</v>
      </c>
      <c r="X131" s="691">
        <v>0</v>
      </c>
      <c r="Y131" s="691">
        <v>0</v>
      </c>
      <c r="Z131" s="691">
        <v>0</v>
      </c>
      <c r="AA131" s="691">
        <v>0</v>
      </c>
      <c r="AB131" s="691">
        <v>0</v>
      </c>
      <c r="AC131" s="691">
        <v>0</v>
      </c>
      <c r="AD131" s="691">
        <v>0</v>
      </c>
      <c r="AE131" s="691">
        <v>0</v>
      </c>
      <c r="AF131" s="691">
        <v>0</v>
      </c>
      <c r="AG131" s="691">
        <v>0</v>
      </c>
      <c r="AH131" s="691">
        <v>0</v>
      </c>
      <c r="AI131" s="691">
        <v>0</v>
      </c>
      <c r="AJ131" s="691">
        <v>0</v>
      </c>
      <c r="AK131" s="691">
        <v>0</v>
      </c>
      <c r="AL131" s="691">
        <v>0</v>
      </c>
      <c r="AM131" s="691">
        <v>0</v>
      </c>
      <c r="AN131" s="691">
        <v>0</v>
      </c>
      <c r="AO131" s="692">
        <v>0</v>
      </c>
      <c r="AP131" s="628"/>
      <c r="AQ131" s="690">
        <v>0</v>
      </c>
      <c r="AR131" s="691">
        <v>0</v>
      </c>
      <c r="AS131" s="691">
        <v>0</v>
      </c>
      <c r="AT131" s="691">
        <v>0</v>
      </c>
      <c r="AU131" s="691">
        <v>0</v>
      </c>
      <c r="AV131" s="691">
        <v>0</v>
      </c>
      <c r="AW131" s="691">
        <v>0</v>
      </c>
      <c r="AX131" s="691">
        <v>0</v>
      </c>
      <c r="AY131" s="691">
        <v>0</v>
      </c>
      <c r="AZ131" s="691">
        <v>0</v>
      </c>
      <c r="BA131" s="691">
        <v>0</v>
      </c>
      <c r="BB131" s="691">
        <v>0</v>
      </c>
      <c r="BC131" s="691">
        <v>0</v>
      </c>
      <c r="BD131" s="691">
        <v>0</v>
      </c>
      <c r="BE131" s="691">
        <v>0</v>
      </c>
      <c r="BF131" s="691">
        <v>0</v>
      </c>
      <c r="BG131" s="691">
        <v>0</v>
      </c>
      <c r="BH131" s="691">
        <v>0</v>
      </c>
      <c r="BI131" s="691">
        <v>0</v>
      </c>
      <c r="BJ131" s="691">
        <v>0</v>
      </c>
      <c r="BK131" s="691">
        <v>0</v>
      </c>
      <c r="BL131" s="691">
        <v>0</v>
      </c>
      <c r="BM131" s="691">
        <v>0</v>
      </c>
      <c r="BN131" s="691">
        <v>0</v>
      </c>
      <c r="BO131" s="691">
        <v>0</v>
      </c>
      <c r="BP131" s="691">
        <v>0</v>
      </c>
      <c r="BQ131" s="691">
        <v>0</v>
      </c>
      <c r="BR131" s="691">
        <v>0</v>
      </c>
      <c r="BS131" s="691">
        <v>0</v>
      </c>
      <c r="BT131" s="692">
        <v>0</v>
      </c>
    </row>
    <row r="132" spans="2:72" hidden="1" outlineLevel="1">
      <c r="B132" s="752" t="s">
        <v>758</v>
      </c>
      <c r="C132" s="752" t="s">
        <v>731</v>
      </c>
      <c r="D132" s="752" t="s">
        <v>42</v>
      </c>
      <c r="E132" s="752" t="s">
        <v>733</v>
      </c>
      <c r="F132" s="752" t="s">
        <v>29</v>
      </c>
      <c r="G132" s="752" t="s">
        <v>734</v>
      </c>
      <c r="H132" s="752">
        <v>2013</v>
      </c>
      <c r="I132" s="639" t="s">
        <v>570</v>
      </c>
      <c r="J132" s="639" t="s">
        <v>578</v>
      </c>
      <c r="K132" s="628"/>
      <c r="L132" s="690">
        <v>0</v>
      </c>
      <c r="M132" s="691">
        <v>0</v>
      </c>
      <c r="N132" s="691">
        <v>0</v>
      </c>
      <c r="O132" s="691">
        <v>216.10930000000002</v>
      </c>
      <c r="P132" s="691">
        <v>0</v>
      </c>
      <c r="Q132" s="691">
        <v>0</v>
      </c>
      <c r="R132" s="691">
        <v>0</v>
      </c>
      <c r="S132" s="691">
        <v>0</v>
      </c>
      <c r="T132" s="691">
        <v>0</v>
      </c>
      <c r="U132" s="691">
        <v>0</v>
      </c>
      <c r="V132" s="691">
        <v>0</v>
      </c>
      <c r="W132" s="691">
        <v>0</v>
      </c>
      <c r="X132" s="691">
        <v>0</v>
      </c>
      <c r="Y132" s="691">
        <v>0</v>
      </c>
      <c r="Z132" s="691">
        <v>0</v>
      </c>
      <c r="AA132" s="691">
        <v>0</v>
      </c>
      <c r="AB132" s="691">
        <v>0</v>
      </c>
      <c r="AC132" s="691">
        <v>0</v>
      </c>
      <c r="AD132" s="691">
        <v>0</v>
      </c>
      <c r="AE132" s="691">
        <v>0</v>
      </c>
      <c r="AF132" s="691">
        <v>0</v>
      </c>
      <c r="AG132" s="691">
        <v>0</v>
      </c>
      <c r="AH132" s="691">
        <v>0</v>
      </c>
      <c r="AI132" s="691">
        <v>0</v>
      </c>
      <c r="AJ132" s="691">
        <v>0</v>
      </c>
      <c r="AK132" s="691">
        <v>0</v>
      </c>
      <c r="AL132" s="691">
        <v>0</v>
      </c>
      <c r="AM132" s="691">
        <v>0</v>
      </c>
      <c r="AN132" s="691">
        <v>0</v>
      </c>
      <c r="AO132" s="692">
        <v>0</v>
      </c>
      <c r="AP132" s="628"/>
      <c r="AQ132" s="690">
        <v>0</v>
      </c>
      <c r="AR132" s="691">
        <v>0</v>
      </c>
      <c r="AS132" s="691">
        <v>0</v>
      </c>
      <c r="AT132" s="691">
        <v>0</v>
      </c>
      <c r="AU132" s="691">
        <v>0</v>
      </c>
      <c r="AV132" s="691">
        <v>0</v>
      </c>
      <c r="AW132" s="691">
        <v>0</v>
      </c>
      <c r="AX132" s="691">
        <v>0</v>
      </c>
      <c r="AY132" s="691">
        <v>0</v>
      </c>
      <c r="AZ132" s="691">
        <v>0</v>
      </c>
      <c r="BA132" s="691">
        <v>0</v>
      </c>
      <c r="BB132" s="691">
        <v>0</v>
      </c>
      <c r="BC132" s="691">
        <v>0</v>
      </c>
      <c r="BD132" s="691">
        <v>0</v>
      </c>
      <c r="BE132" s="691">
        <v>0</v>
      </c>
      <c r="BF132" s="691">
        <v>0</v>
      </c>
      <c r="BG132" s="691">
        <v>0</v>
      </c>
      <c r="BH132" s="691">
        <v>0</v>
      </c>
      <c r="BI132" s="691">
        <v>0</v>
      </c>
      <c r="BJ132" s="691">
        <v>0</v>
      </c>
      <c r="BK132" s="691">
        <v>0</v>
      </c>
      <c r="BL132" s="691">
        <v>0</v>
      </c>
      <c r="BM132" s="691">
        <v>0</v>
      </c>
      <c r="BN132" s="691">
        <v>0</v>
      </c>
      <c r="BO132" s="691">
        <v>0</v>
      </c>
      <c r="BP132" s="691">
        <v>0</v>
      </c>
      <c r="BQ132" s="691">
        <v>0</v>
      </c>
      <c r="BR132" s="691">
        <v>0</v>
      </c>
      <c r="BS132" s="691">
        <v>0</v>
      </c>
      <c r="BT132" s="692">
        <v>0</v>
      </c>
    </row>
    <row r="133" spans="2:72" hidden="1" outlineLevel="1">
      <c r="B133" s="752" t="s">
        <v>758</v>
      </c>
      <c r="C133" s="752" t="s">
        <v>744</v>
      </c>
      <c r="D133" s="752" t="s">
        <v>752</v>
      </c>
      <c r="E133" s="752" t="s">
        <v>733</v>
      </c>
      <c r="F133" s="752" t="s">
        <v>744</v>
      </c>
      <c r="G133" s="752" t="s">
        <v>739</v>
      </c>
      <c r="H133" s="752">
        <v>2013</v>
      </c>
      <c r="I133" s="639" t="s">
        <v>570</v>
      </c>
      <c r="J133" s="639" t="s">
        <v>578</v>
      </c>
      <c r="K133" s="628"/>
      <c r="L133" s="690">
        <v>0</v>
      </c>
      <c r="M133" s="691">
        <v>0</v>
      </c>
      <c r="N133" s="691">
        <v>46.347498000000002</v>
      </c>
      <c r="O133" s="691">
        <v>46.347498000000002</v>
      </c>
      <c r="P133" s="691">
        <v>46.347498000000002</v>
      </c>
      <c r="Q133" s="691">
        <v>46.17</v>
      </c>
      <c r="R133" s="691">
        <v>46.17</v>
      </c>
      <c r="S133" s="691">
        <v>46.17</v>
      </c>
      <c r="T133" s="691">
        <v>46.17</v>
      </c>
      <c r="U133" s="691">
        <v>46.17</v>
      </c>
      <c r="V133" s="691">
        <v>46.17</v>
      </c>
      <c r="W133" s="691">
        <v>46.17</v>
      </c>
      <c r="X133" s="691">
        <v>0</v>
      </c>
      <c r="Y133" s="691">
        <v>0</v>
      </c>
      <c r="Z133" s="691">
        <v>0</v>
      </c>
      <c r="AA133" s="691">
        <v>0</v>
      </c>
      <c r="AB133" s="691">
        <v>0</v>
      </c>
      <c r="AC133" s="691">
        <v>0</v>
      </c>
      <c r="AD133" s="691">
        <v>0</v>
      </c>
      <c r="AE133" s="691">
        <v>0</v>
      </c>
      <c r="AF133" s="691">
        <v>0</v>
      </c>
      <c r="AG133" s="691">
        <v>0</v>
      </c>
      <c r="AH133" s="691">
        <v>0</v>
      </c>
      <c r="AI133" s="691">
        <v>0</v>
      </c>
      <c r="AJ133" s="691">
        <v>0</v>
      </c>
      <c r="AK133" s="691">
        <v>0</v>
      </c>
      <c r="AL133" s="691">
        <v>0</v>
      </c>
      <c r="AM133" s="691">
        <v>0</v>
      </c>
      <c r="AN133" s="691">
        <v>0</v>
      </c>
      <c r="AO133" s="692">
        <v>0</v>
      </c>
      <c r="AP133" s="628"/>
      <c r="AQ133" s="690">
        <v>0</v>
      </c>
      <c r="AR133" s="691">
        <v>0</v>
      </c>
      <c r="AS133" s="691">
        <v>413307.69231000001</v>
      </c>
      <c r="AT133" s="691">
        <v>413307.69231000001</v>
      </c>
      <c r="AU133" s="691">
        <v>413307.69231000001</v>
      </c>
      <c r="AV133" s="691">
        <v>402840</v>
      </c>
      <c r="AW133" s="691">
        <v>402840</v>
      </c>
      <c r="AX133" s="691">
        <v>402840</v>
      </c>
      <c r="AY133" s="691">
        <v>402840</v>
      </c>
      <c r="AZ133" s="691">
        <v>402840</v>
      </c>
      <c r="BA133" s="691">
        <v>402840</v>
      </c>
      <c r="BB133" s="691">
        <v>402840</v>
      </c>
      <c r="BC133" s="691">
        <v>0</v>
      </c>
      <c r="BD133" s="691">
        <v>0</v>
      </c>
      <c r="BE133" s="691">
        <v>0</v>
      </c>
      <c r="BF133" s="691">
        <v>0</v>
      </c>
      <c r="BG133" s="691">
        <v>0</v>
      </c>
      <c r="BH133" s="691">
        <v>0</v>
      </c>
      <c r="BI133" s="691">
        <v>0</v>
      </c>
      <c r="BJ133" s="691">
        <v>0</v>
      </c>
      <c r="BK133" s="691">
        <v>0</v>
      </c>
      <c r="BL133" s="691">
        <v>0</v>
      </c>
      <c r="BM133" s="691">
        <v>0</v>
      </c>
      <c r="BN133" s="691">
        <v>0</v>
      </c>
      <c r="BO133" s="691">
        <v>0</v>
      </c>
      <c r="BP133" s="691">
        <v>0</v>
      </c>
      <c r="BQ133" s="691">
        <v>0</v>
      </c>
      <c r="BR133" s="691">
        <v>0</v>
      </c>
      <c r="BS133" s="691">
        <v>0</v>
      </c>
      <c r="BT133" s="692">
        <v>0</v>
      </c>
    </row>
    <row r="134" spans="2:72" hidden="1" outlineLevel="1">
      <c r="B134" s="752" t="s">
        <v>758</v>
      </c>
      <c r="C134" s="752" t="s">
        <v>735</v>
      </c>
      <c r="D134" s="752" t="s">
        <v>21</v>
      </c>
      <c r="E134" s="752" t="s">
        <v>733</v>
      </c>
      <c r="F134" s="752" t="s">
        <v>738</v>
      </c>
      <c r="G134" s="752" t="s">
        <v>739</v>
      </c>
      <c r="H134" s="752">
        <v>2014</v>
      </c>
      <c r="I134" s="639" t="s">
        <v>570</v>
      </c>
      <c r="J134" s="639" t="s">
        <v>585</v>
      </c>
      <c r="K134" s="628"/>
      <c r="L134" s="690">
        <v>0</v>
      </c>
      <c r="M134" s="691">
        <v>0</v>
      </c>
      <c r="N134" s="691">
        <v>0</v>
      </c>
      <c r="O134" s="691">
        <v>107.90901839999999</v>
      </c>
      <c r="P134" s="691">
        <v>103.43850879999999</v>
      </c>
      <c r="Q134" s="691">
        <v>97.155578399999996</v>
      </c>
      <c r="R134" s="691">
        <v>59.809784639999997</v>
      </c>
      <c r="S134" s="691">
        <v>59.809784639999997</v>
      </c>
      <c r="T134" s="691">
        <v>59.809784639999997</v>
      </c>
      <c r="U134" s="691">
        <v>59.809784639999997</v>
      </c>
      <c r="V134" s="691">
        <v>59.809784639999997</v>
      </c>
      <c r="W134" s="691">
        <v>59.809784639999997</v>
      </c>
      <c r="X134" s="691">
        <v>59.809784639999997</v>
      </c>
      <c r="Y134" s="691">
        <v>59.209724199999997</v>
      </c>
      <c r="Z134" s="691">
        <v>27.63327366</v>
      </c>
      <c r="AA134" s="691">
        <v>0</v>
      </c>
      <c r="AB134" s="691">
        <v>0</v>
      </c>
      <c r="AC134" s="691">
        <v>0</v>
      </c>
      <c r="AD134" s="691">
        <v>0</v>
      </c>
      <c r="AE134" s="691">
        <v>0</v>
      </c>
      <c r="AF134" s="691">
        <v>0</v>
      </c>
      <c r="AG134" s="691">
        <v>0</v>
      </c>
      <c r="AH134" s="691">
        <v>0</v>
      </c>
      <c r="AI134" s="691">
        <v>0</v>
      </c>
      <c r="AJ134" s="691">
        <v>0</v>
      </c>
      <c r="AK134" s="691">
        <v>0</v>
      </c>
      <c r="AL134" s="691">
        <v>0</v>
      </c>
      <c r="AM134" s="691">
        <v>0</v>
      </c>
      <c r="AN134" s="691">
        <v>0</v>
      </c>
      <c r="AO134" s="692">
        <v>0</v>
      </c>
      <c r="AP134" s="628"/>
      <c r="AQ134" s="690">
        <v>0</v>
      </c>
      <c r="AR134" s="691">
        <v>0</v>
      </c>
      <c r="AS134" s="691">
        <v>0</v>
      </c>
      <c r="AT134" s="691">
        <v>384743.78269999998</v>
      </c>
      <c r="AU134" s="691">
        <v>368910.72269999998</v>
      </c>
      <c r="AV134" s="691">
        <v>344504.96460000001</v>
      </c>
      <c r="AW134" s="691">
        <v>220408.20110000001</v>
      </c>
      <c r="AX134" s="691">
        <v>220408.20110000001</v>
      </c>
      <c r="AY134" s="691">
        <v>220408.20110000001</v>
      </c>
      <c r="AZ134" s="691">
        <v>220408.20110000001</v>
      </c>
      <c r="BA134" s="691">
        <v>220408.20110000001</v>
      </c>
      <c r="BB134" s="691">
        <v>220408.20110000001</v>
      </c>
      <c r="BC134" s="691">
        <v>220408.20110000001</v>
      </c>
      <c r="BD134" s="691">
        <v>214875.02439999999</v>
      </c>
      <c r="BE134" s="691">
        <v>93421.087280000007</v>
      </c>
      <c r="BF134" s="691">
        <v>0</v>
      </c>
      <c r="BG134" s="691">
        <v>0</v>
      </c>
      <c r="BH134" s="691">
        <v>0</v>
      </c>
      <c r="BI134" s="691">
        <v>0</v>
      </c>
      <c r="BJ134" s="691">
        <v>0</v>
      </c>
      <c r="BK134" s="691">
        <v>0</v>
      </c>
      <c r="BL134" s="691">
        <v>0</v>
      </c>
      <c r="BM134" s="691">
        <v>0</v>
      </c>
      <c r="BN134" s="691">
        <v>0</v>
      </c>
      <c r="BO134" s="691">
        <v>0</v>
      </c>
      <c r="BP134" s="691">
        <v>0</v>
      </c>
      <c r="BQ134" s="691">
        <v>0</v>
      </c>
      <c r="BR134" s="691">
        <v>0</v>
      </c>
      <c r="BS134" s="691">
        <v>0</v>
      </c>
      <c r="BT134" s="692">
        <v>0</v>
      </c>
    </row>
    <row r="135" spans="2:72" hidden="1" outlineLevel="1">
      <c r="B135" s="752" t="s">
        <v>758</v>
      </c>
      <c r="C135" s="752" t="s">
        <v>735</v>
      </c>
      <c r="D135" s="752" t="s">
        <v>20</v>
      </c>
      <c r="E135" s="752" t="s">
        <v>733</v>
      </c>
      <c r="F135" s="752" t="s">
        <v>738</v>
      </c>
      <c r="G135" s="752" t="s">
        <v>739</v>
      </c>
      <c r="H135" s="752">
        <v>2014</v>
      </c>
      <c r="I135" s="639" t="s">
        <v>570</v>
      </c>
      <c r="J135" s="639" t="s">
        <v>585</v>
      </c>
      <c r="K135" s="628"/>
      <c r="L135" s="690">
        <v>0</v>
      </c>
      <c r="M135" s="691">
        <v>0</v>
      </c>
      <c r="N135" s="691">
        <v>0</v>
      </c>
      <c r="O135" s="691">
        <v>147.03623569999999</v>
      </c>
      <c r="P135" s="691">
        <v>147.03623569999999</v>
      </c>
      <c r="Q135" s="691">
        <v>147.03623569999999</v>
      </c>
      <c r="R135" s="691">
        <v>147.03623569999999</v>
      </c>
      <c r="S135" s="691">
        <v>0</v>
      </c>
      <c r="T135" s="691">
        <v>0</v>
      </c>
      <c r="U135" s="691">
        <v>0</v>
      </c>
      <c r="V135" s="691">
        <v>0</v>
      </c>
      <c r="W135" s="691">
        <v>0</v>
      </c>
      <c r="X135" s="691">
        <v>0</v>
      </c>
      <c r="Y135" s="691">
        <v>0</v>
      </c>
      <c r="Z135" s="691">
        <v>0</v>
      </c>
      <c r="AA135" s="691">
        <v>0</v>
      </c>
      <c r="AB135" s="691">
        <v>0</v>
      </c>
      <c r="AC135" s="691">
        <v>0</v>
      </c>
      <c r="AD135" s="691">
        <v>0</v>
      </c>
      <c r="AE135" s="691">
        <v>0</v>
      </c>
      <c r="AF135" s="691">
        <v>0</v>
      </c>
      <c r="AG135" s="691">
        <v>0</v>
      </c>
      <c r="AH135" s="691">
        <v>0</v>
      </c>
      <c r="AI135" s="691">
        <v>0</v>
      </c>
      <c r="AJ135" s="691">
        <v>0</v>
      </c>
      <c r="AK135" s="691">
        <v>0</v>
      </c>
      <c r="AL135" s="691">
        <v>0</v>
      </c>
      <c r="AM135" s="691">
        <v>0</v>
      </c>
      <c r="AN135" s="691">
        <v>0</v>
      </c>
      <c r="AO135" s="692">
        <v>0</v>
      </c>
      <c r="AP135" s="628"/>
      <c r="AQ135" s="690">
        <v>0</v>
      </c>
      <c r="AR135" s="691">
        <v>0</v>
      </c>
      <c r="AS135" s="691">
        <v>0</v>
      </c>
      <c r="AT135" s="691">
        <v>718009.27060000005</v>
      </c>
      <c r="AU135" s="691">
        <v>718009.27060000005</v>
      </c>
      <c r="AV135" s="691">
        <v>718009.27060000005</v>
      </c>
      <c r="AW135" s="691">
        <v>718009.27060000005</v>
      </c>
      <c r="AX135" s="691">
        <v>0</v>
      </c>
      <c r="AY135" s="691">
        <v>0</v>
      </c>
      <c r="AZ135" s="691">
        <v>0</v>
      </c>
      <c r="BA135" s="691">
        <v>0</v>
      </c>
      <c r="BB135" s="691">
        <v>0</v>
      </c>
      <c r="BC135" s="691">
        <v>0</v>
      </c>
      <c r="BD135" s="691">
        <v>0</v>
      </c>
      <c r="BE135" s="691">
        <v>0</v>
      </c>
      <c r="BF135" s="691">
        <v>0</v>
      </c>
      <c r="BG135" s="691">
        <v>0</v>
      </c>
      <c r="BH135" s="691">
        <v>0</v>
      </c>
      <c r="BI135" s="691">
        <v>0</v>
      </c>
      <c r="BJ135" s="691">
        <v>0</v>
      </c>
      <c r="BK135" s="691">
        <v>0</v>
      </c>
      <c r="BL135" s="691">
        <v>0</v>
      </c>
      <c r="BM135" s="691">
        <v>0</v>
      </c>
      <c r="BN135" s="691">
        <v>0</v>
      </c>
      <c r="BO135" s="691">
        <v>0</v>
      </c>
      <c r="BP135" s="691">
        <v>0</v>
      </c>
      <c r="BQ135" s="691">
        <v>0</v>
      </c>
      <c r="BR135" s="691">
        <v>0</v>
      </c>
      <c r="BS135" s="691">
        <v>0</v>
      </c>
      <c r="BT135" s="692">
        <v>0</v>
      </c>
    </row>
    <row r="136" spans="2:72" hidden="1" outlineLevel="1">
      <c r="B136" s="752" t="s">
        <v>758</v>
      </c>
      <c r="C136" s="752" t="s">
        <v>735</v>
      </c>
      <c r="D136" s="752" t="s">
        <v>17</v>
      </c>
      <c r="E136" s="752" t="s">
        <v>733</v>
      </c>
      <c r="F136" s="752" t="s">
        <v>738</v>
      </c>
      <c r="G136" s="752" t="s">
        <v>739</v>
      </c>
      <c r="H136" s="752">
        <v>2014</v>
      </c>
      <c r="I136" s="639" t="s">
        <v>570</v>
      </c>
      <c r="J136" s="639" t="s">
        <v>585</v>
      </c>
      <c r="K136" s="628"/>
      <c r="L136" s="690">
        <v>0</v>
      </c>
      <c r="M136" s="691">
        <v>0</v>
      </c>
      <c r="N136" s="691">
        <v>0</v>
      </c>
      <c r="O136" s="691">
        <v>5.1362662200000004</v>
      </c>
      <c r="P136" s="691">
        <v>5.1362662200000004</v>
      </c>
      <c r="Q136" s="691">
        <v>5.1362662200000004</v>
      </c>
      <c r="R136" s="691">
        <v>5.1362662200000004</v>
      </c>
      <c r="S136" s="691">
        <v>5.1362662200000004</v>
      </c>
      <c r="T136" s="691">
        <v>5.1362662200000004</v>
      </c>
      <c r="U136" s="691">
        <v>5.1362662200000004</v>
      </c>
      <c r="V136" s="691">
        <v>5.1362662200000004</v>
      </c>
      <c r="W136" s="691">
        <v>5.1362662200000004</v>
      </c>
      <c r="X136" s="691">
        <v>5.1362662200000004</v>
      </c>
      <c r="Y136" s="691">
        <v>5.1362662200000004</v>
      </c>
      <c r="Z136" s="691">
        <v>5.1362662200000004</v>
      </c>
      <c r="AA136" s="691">
        <v>5.1362662200000004</v>
      </c>
      <c r="AB136" s="691">
        <v>5.1362662200000004</v>
      </c>
      <c r="AC136" s="691">
        <v>5.1362662200000004</v>
      </c>
      <c r="AD136" s="691">
        <v>0</v>
      </c>
      <c r="AE136" s="691">
        <v>0</v>
      </c>
      <c r="AF136" s="691">
        <v>0</v>
      </c>
      <c r="AG136" s="691">
        <v>0</v>
      </c>
      <c r="AH136" s="691">
        <v>0</v>
      </c>
      <c r="AI136" s="691">
        <v>0</v>
      </c>
      <c r="AJ136" s="691">
        <v>0</v>
      </c>
      <c r="AK136" s="691">
        <v>0</v>
      </c>
      <c r="AL136" s="691">
        <v>0</v>
      </c>
      <c r="AM136" s="691">
        <v>0</v>
      </c>
      <c r="AN136" s="691">
        <v>0</v>
      </c>
      <c r="AO136" s="692">
        <v>0</v>
      </c>
      <c r="AP136" s="628"/>
      <c r="AQ136" s="690">
        <v>0</v>
      </c>
      <c r="AR136" s="691">
        <v>0</v>
      </c>
      <c r="AS136" s="691">
        <v>0</v>
      </c>
      <c r="AT136" s="691">
        <v>9537.6134789999996</v>
      </c>
      <c r="AU136" s="691">
        <v>9537.6134789999996</v>
      </c>
      <c r="AV136" s="691">
        <v>9537.6134789999996</v>
      </c>
      <c r="AW136" s="691">
        <v>9537.6134789999996</v>
      </c>
      <c r="AX136" s="691">
        <v>9537.6134789999996</v>
      </c>
      <c r="AY136" s="691">
        <v>9537.6134789999996</v>
      </c>
      <c r="AZ136" s="691">
        <v>9537.6134789999996</v>
      </c>
      <c r="BA136" s="691">
        <v>9537.6134789999996</v>
      </c>
      <c r="BB136" s="691">
        <v>9537.6134789999996</v>
      </c>
      <c r="BC136" s="691">
        <v>9537.6134789999996</v>
      </c>
      <c r="BD136" s="691">
        <v>9537.6134789999996</v>
      </c>
      <c r="BE136" s="691">
        <v>9537.6134789999996</v>
      </c>
      <c r="BF136" s="691">
        <v>9537.6134789999996</v>
      </c>
      <c r="BG136" s="691">
        <v>9537.6134789999996</v>
      </c>
      <c r="BH136" s="691">
        <v>9537.6134789999996</v>
      </c>
      <c r="BI136" s="691">
        <v>0</v>
      </c>
      <c r="BJ136" s="691">
        <v>0</v>
      </c>
      <c r="BK136" s="691">
        <v>0</v>
      </c>
      <c r="BL136" s="691">
        <v>0</v>
      </c>
      <c r="BM136" s="691">
        <v>0</v>
      </c>
      <c r="BN136" s="691">
        <v>0</v>
      </c>
      <c r="BO136" s="691">
        <v>0</v>
      </c>
      <c r="BP136" s="691">
        <v>0</v>
      </c>
      <c r="BQ136" s="691">
        <v>0</v>
      </c>
      <c r="BR136" s="691">
        <v>0</v>
      </c>
      <c r="BS136" s="691">
        <v>0</v>
      </c>
      <c r="BT136" s="692">
        <v>0</v>
      </c>
    </row>
    <row r="137" spans="2:72" hidden="1" outlineLevel="1">
      <c r="B137" s="752" t="s">
        <v>758</v>
      </c>
      <c r="C137" s="752" t="s">
        <v>735</v>
      </c>
      <c r="D137" s="752" t="s">
        <v>22</v>
      </c>
      <c r="E137" s="752" t="s">
        <v>733</v>
      </c>
      <c r="F137" s="752" t="s">
        <v>738</v>
      </c>
      <c r="G137" s="752" t="s">
        <v>739</v>
      </c>
      <c r="H137" s="752">
        <v>2014</v>
      </c>
      <c r="I137" s="639" t="s">
        <v>570</v>
      </c>
      <c r="J137" s="639" t="s">
        <v>585</v>
      </c>
      <c r="K137" s="628"/>
      <c r="L137" s="690">
        <v>0</v>
      </c>
      <c r="M137" s="691">
        <v>0</v>
      </c>
      <c r="N137" s="691">
        <v>0</v>
      </c>
      <c r="O137" s="691">
        <v>822.71648159999995</v>
      </c>
      <c r="P137" s="691">
        <v>820.12877370000001</v>
      </c>
      <c r="Q137" s="691">
        <v>820.12877370000001</v>
      </c>
      <c r="R137" s="691">
        <v>809.69808890000002</v>
      </c>
      <c r="S137" s="691">
        <v>809.69808890000002</v>
      </c>
      <c r="T137" s="691">
        <v>809.69808890000002</v>
      </c>
      <c r="U137" s="691">
        <v>778.33217090000005</v>
      </c>
      <c r="V137" s="691">
        <v>778.33217090000005</v>
      </c>
      <c r="W137" s="691">
        <v>757.98060969999995</v>
      </c>
      <c r="X137" s="691">
        <v>625.09934859999998</v>
      </c>
      <c r="Y137" s="691">
        <v>490.30493860000001</v>
      </c>
      <c r="Z137" s="691">
        <v>489.8913943</v>
      </c>
      <c r="AA137" s="691">
        <v>357.72032339999998</v>
      </c>
      <c r="AB137" s="691">
        <v>341.22038209999999</v>
      </c>
      <c r="AC137" s="691">
        <v>341.22038209999999</v>
      </c>
      <c r="AD137" s="691">
        <v>267.49512390000001</v>
      </c>
      <c r="AE137" s="691">
        <v>117.1114614</v>
      </c>
      <c r="AF137" s="691">
        <v>117.1114614</v>
      </c>
      <c r="AG137" s="691">
        <v>117.1114614</v>
      </c>
      <c r="AH137" s="691">
        <v>117.1114614</v>
      </c>
      <c r="AI137" s="691">
        <v>0</v>
      </c>
      <c r="AJ137" s="691">
        <v>0</v>
      </c>
      <c r="AK137" s="691">
        <v>0</v>
      </c>
      <c r="AL137" s="691">
        <v>0</v>
      </c>
      <c r="AM137" s="691">
        <v>0</v>
      </c>
      <c r="AN137" s="691">
        <v>0</v>
      </c>
      <c r="AO137" s="692">
        <v>0</v>
      </c>
      <c r="AP137" s="628"/>
      <c r="AQ137" s="690">
        <v>0</v>
      </c>
      <c r="AR137" s="691">
        <v>0</v>
      </c>
      <c r="AS137" s="691">
        <v>0</v>
      </c>
      <c r="AT137" s="691">
        <v>4440673.5389999999</v>
      </c>
      <c r="AU137" s="691">
        <v>4431659.2879999997</v>
      </c>
      <c r="AV137" s="691">
        <v>4431659.2879999997</v>
      </c>
      <c r="AW137" s="691">
        <v>4395310.7740000002</v>
      </c>
      <c r="AX137" s="691">
        <v>4395310.7740000002</v>
      </c>
      <c r="AY137" s="691">
        <v>4395310.7740000002</v>
      </c>
      <c r="AZ137" s="691">
        <v>4180741.0189999999</v>
      </c>
      <c r="BA137" s="691">
        <v>4180741.0189999999</v>
      </c>
      <c r="BB137" s="691">
        <v>4047746.9879999999</v>
      </c>
      <c r="BC137" s="691">
        <v>3121142.125</v>
      </c>
      <c r="BD137" s="691">
        <v>2132990.5219999999</v>
      </c>
      <c r="BE137" s="691">
        <v>2071273.76</v>
      </c>
      <c r="BF137" s="691">
        <v>1174946.0360000001</v>
      </c>
      <c r="BG137" s="691">
        <v>1117468.68</v>
      </c>
      <c r="BH137" s="691">
        <v>1117468.68</v>
      </c>
      <c r="BI137" s="691">
        <v>864586.40870000003</v>
      </c>
      <c r="BJ137" s="691">
        <v>165504.05069999999</v>
      </c>
      <c r="BK137" s="691">
        <v>165504.05069999999</v>
      </c>
      <c r="BL137" s="691">
        <v>165504.05069999999</v>
      </c>
      <c r="BM137" s="691">
        <v>165504.05069999999</v>
      </c>
      <c r="BN137" s="691">
        <v>0</v>
      </c>
      <c r="BO137" s="691">
        <v>0</v>
      </c>
      <c r="BP137" s="691">
        <v>0</v>
      </c>
      <c r="BQ137" s="691">
        <v>0</v>
      </c>
      <c r="BR137" s="691">
        <v>0</v>
      </c>
      <c r="BS137" s="691">
        <v>0</v>
      </c>
      <c r="BT137" s="692">
        <v>0</v>
      </c>
    </row>
    <row r="138" spans="2:72" hidden="1" outlineLevel="1">
      <c r="B138" s="752" t="s">
        <v>758</v>
      </c>
      <c r="C138" s="752" t="s">
        <v>731</v>
      </c>
      <c r="D138" s="752" t="s">
        <v>2</v>
      </c>
      <c r="E138" s="752" t="s">
        <v>733</v>
      </c>
      <c r="F138" s="752" t="s">
        <v>29</v>
      </c>
      <c r="G138" s="752" t="s">
        <v>739</v>
      </c>
      <c r="H138" s="752">
        <v>2014</v>
      </c>
      <c r="I138" s="639" t="s">
        <v>570</v>
      </c>
      <c r="J138" s="639" t="s">
        <v>585</v>
      </c>
      <c r="K138" s="628"/>
      <c r="L138" s="690">
        <v>0</v>
      </c>
      <c r="M138" s="691">
        <v>0</v>
      </c>
      <c r="N138" s="691">
        <v>0</v>
      </c>
      <c r="O138" s="691">
        <v>34.60141454</v>
      </c>
      <c r="P138" s="691">
        <v>34.60141454</v>
      </c>
      <c r="Q138" s="691">
        <v>34.60141454</v>
      </c>
      <c r="R138" s="691">
        <v>34.60141454</v>
      </c>
      <c r="S138" s="691">
        <v>0</v>
      </c>
      <c r="T138" s="691">
        <v>0</v>
      </c>
      <c r="U138" s="691">
        <v>0</v>
      </c>
      <c r="V138" s="691">
        <v>0</v>
      </c>
      <c r="W138" s="691">
        <v>0</v>
      </c>
      <c r="X138" s="691">
        <v>0</v>
      </c>
      <c r="Y138" s="691">
        <v>0</v>
      </c>
      <c r="Z138" s="691">
        <v>0</v>
      </c>
      <c r="AA138" s="691">
        <v>0</v>
      </c>
      <c r="AB138" s="691">
        <v>0</v>
      </c>
      <c r="AC138" s="691">
        <v>0</v>
      </c>
      <c r="AD138" s="691">
        <v>0</v>
      </c>
      <c r="AE138" s="691">
        <v>0</v>
      </c>
      <c r="AF138" s="691">
        <v>0</v>
      </c>
      <c r="AG138" s="691">
        <v>0</v>
      </c>
      <c r="AH138" s="691">
        <v>0</v>
      </c>
      <c r="AI138" s="691">
        <v>0</v>
      </c>
      <c r="AJ138" s="691">
        <v>0</v>
      </c>
      <c r="AK138" s="691">
        <v>0</v>
      </c>
      <c r="AL138" s="691">
        <v>0</v>
      </c>
      <c r="AM138" s="691">
        <v>0</v>
      </c>
      <c r="AN138" s="691">
        <v>0</v>
      </c>
      <c r="AO138" s="692">
        <v>0</v>
      </c>
      <c r="AP138" s="628"/>
      <c r="AQ138" s="690">
        <v>0</v>
      </c>
      <c r="AR138" s="691">
        <v>0</v>
      </c>
      <c r="AS138" s="691">
        <v>0</v>
      </c>
      <c r="AT138" s="691">
        <v>61696.459620000001</v>
      </c>
      <c r="AU138" s="691">
        <v>61696.459620000001</v>
      </c>
      <c r="AV138" s="691">
        <v>61696.459620000001</v>
      </c>
      <c r="AW138" s="691">
        <v>61696.459620000001</v>
      </c>
      <c r="AX138" s="691">
        <v>0</v>
      </c>
      <c r="AY138" s="691">
        <v>0</v>
      </c>
      <c r="AZ138" s="691">
        <v>0</v>
      </c>
      <c r="BA138" s="691">
        <v>0</v>
      </c>
      <c r="BB138" s="691">
        <v>0</v>
      </c>
      <c r="BC138" s="691">
        <v>0</v>
      </c>
      <c r="BD138" s="691">
        <v>0</v>
      </c>
      <c r="BE138" s="691">
        <v>0</v>
      </c>
      <c r="BF138" s="691">
        <v>0</v>
      </c>
      <c r="BG138" s="691">
        <v>0</v>
      </c>
      <c r="BH138" s="691">
        <v>0</v>
      </c>
      <c r="BI138" s="691">
        <v>0</v>
      </c>
      <c r="BJ138" s="691">
        <v>0</v>
      </c>
      <c r="BK138" s="691">
        <v>0</v>
      </c>
      <c r="BL138" s="691">
        <v>0</v>
      </c>
      <c r="BM138" s="691">
        <v>0</v>
      </c>
      <c r="BN138" s="691">
        <v>0</v>
      </c>
      <c r="BO138" s="691">
        <v>0</v>
      </c>
      <c r="BP138" s="691">
        <v>0</v>
      </c>
      <c r="BQ138" s="691">
        <v>0</v>
      </c>
      <c r="BR138" s="691">
        <v>0</v>
      </c>
      <c r="BS138" s="691">
        <v>0</v>
      </c>
      <c r="BT138" s="692">
        <v>0</v>
      </c>
    </row>
    <row r="139" spans="2:72" hidden="1" outlineLevel="1">
      <c r="B139" s="752" t="s">
        <v>758</v>
      </c>
      <c r="C139" s="752" t="s">
        <v>731</v>
      </c>
      <c r="D139" s="752" t="s">
        <v>1</v>
      </c>
      <c r="E139" s="752" t="s">
        <v>733</v>
      </c>
      <c r="F139" s="752" t="s">
        <v>29</v>
      </c>
      <c r="G139" s="752" t="s">
        <v>739</v>
      </c>
      <c r="H139" s="752">
        <v>2014</v>
      </c>
      <c r="I139" s="639" t="s">
        <v>570</v>
      </c>
      <c r="J139" s="639" t="s">
        <v>585</v>
      </c>
      <c r="K139" s="628"/>
      <c r="L139" s="690">
        <v>0</v>
      </c>
      <c r="M139" s="691">
        <v>0</v>
      </c>
      <c r="N139" s="691">
        <v>0</v>
      </c>
      <c r="O139" s="691">
        <v>0.23350859500000001</v>
      </c>
      <c r="P139" s="691">
        <v>0.23350859500000001</v>
      </c>
      <c r="Q139" s="691">
        <v>0.23350859500000001</v>
      </c>
      <c r="R139" s="691">
        <v>0</v>
      </c>
      <c r="S139" s="691">
        <v>0</v>
      </c>
      <c r="T139" s="691">
        <v>0</v>
      </c>
      <c r="U139" s="691">
        <v>0</v>
      </c>
      <c r="V139" s="691">
        <v>0</v>
      </c>
      <c r="W139" s="691">
        <v>0</v>
      </c>
      <c r="X139" s="691">
        <v>0</v>
      </c>
      <c r="Y139" s="691">
        <v>0</v>
      </c>
      <c r="Z139" s="691">
        <v>0</v>
      </c>
      <c r="AA139" s="691">
        <v>0</v>
      </c>
      <c r="AB139" s="691">
        <v>0</v>
      </c>
      <c r="AC139" s="691">
        <v>0</v>
      </c>
      <c r="AD139" s="691">
        <v>0</v>
      </c>
      <c r="AE139" s="691">
        <v>0</v>
      </c>
      <c r="AF139" s="691">
        <v>0</v>
      </c>
      <c r="AG139" s="691">
        <v>0</v>
      </c>
      <c r="AH139" s="691">
        <v>0</v>
      </c>
      <c r="AI139" s="691">
        <v>0</v>
      </c>
      <c r="AJ139" s="691">
        <v>0</v>
      </c>
      <c r="AK139" s="691">
        <v>0</v>
      </c>
      <c r="AL139" s="691">
        <v>0</v>
      </c>
      <c r="AM139" s="691">
        <v>0</v>
      </c>
      <c r="AN139" s="691">
        <v>0</v>
      </c>
      <c r="AO139" s="692">
        <v>0</v>
      </c>
      <c r="AP139" s="628"/>
      <c r="AQ139" s="690">
        <v>0</v>
      </c>
      <c r="AR139" s="691">
        <v>0</v>
      </c>
      <c r="AS139" s="691">
        <v>0</v>
      </c>
      <c r="AT139" s="691">
        <v>208.81609320000001</v>
      </c>
      <c r="AU139" s="691">
        <v>208.81609320000001</v>
      </c>
      <c r="AV139" s="691">
        <v>208.81609320000001</v>
      </c>
      <c r="AW139" s="691">
        <v>0</v>
      </c>
      <c r="AX139" s="691">
        <v>0</v>
      </c>
      <c r="AY139" s="691">
        <v>0</v>
      </c>
      <c r="AZ139" s="691">
        <v>0</v>
      </c>
      <c r="BA139" s="691">
        <v>0</v>
      </c>
      <c r="BB139" s="691">
        <v>0</v>
      </c>
      <c r="BC139" s="691">
        <v>0</v>
      </c>
      <c r="BD139" s="691">
        <v>0</v>
      </c>
      <c r="BE139" s="691">
        <v>0</v>
      </c>
      <c r="BF139" s="691">
        <v>0</v>
      </c>
      <c r="BG139" s="691">
        <v>0</v>
      </c>
      <c r="BH139" s="691">
        <v>0</v>
      </c>
      <c r="BI139" s="691">
        <v>0</v>
      </c>
      <c r="BJ139" s="691">
        <v>0</v>
      </c>
      <c r="BK139" s="691">
        <v>0</v>
      </c>
      <c r="BL139" s="691">
        <v>0</v>
      </c>
      <c r="BM139" s="691">
        <v>0</v>
      </c>
      <c r="BN139" s="691">
        <v>0</v>
      </c>
      <c r="BO139" s="691">
        <v>0</v>
      </c>
      <c r="BP139" s="691">
        <v>0</v>
      </c>
      <c r="BQ139" s="691">
        <v>0</v>
      </c>
      <c r="BR139" s="691">
        <v>0</v>
      </c>
      <c r="BS139" s="691">
        <v>0</v>
      </c>
      <c r="BT139" s="692">
        <v>0</v>
      </c>
    </row>
    <row r="140" spans="2:72" hidden="1" outlineLevel="1">
      <c r="B140" s="752" t="s">
        <v>730</v>
      </c>
      <c r="C140" s="752" t="s">
        <v>731</v>
      </c>
      <c r="D140" s="752" t="s">
        <v>1</v>
      </c>
      <c r="E140" s="752" t="s">
        <v>733</v>
      </c>
      <c r="F140" s="752" t="s">
        <v>29</v>
      </c>
      <c r="G140" s="752" t="s">
        <v>739</v>
      </c>
      <c r="H140" s="752">
        <v>2014</v>
      </c>
      <c r="I140" s="639" t="s">
        <v>570</v>
      </c>
      <c r="J140" s="639" t="s">
        <v>585</v>
      </c>
      <c r="K140" s="628"/>
      <c r="L140" s="690">
        <v>0</v>
      </c>
      <c r="M140" s="691">
        <v>0</v>
      </c>
      <c r="N140" s="691">
        <v>0</v>
      </c>
      <c r="O140" s="691">
        <v>0.53096950300000001</v>
      </c>
      <c r="P140" s="691">
        <v>0.53096950300000001</v>
      </c>
      <c r="Q140" s="691">
        <v>0.53096950300000001</v>
      </c>
      <c r="R140" s="691">
        <v>0.53096950300000001</v>
      </c>
      <c r="S140" s="691">
        <v>0</v>
      </c>
      <c r="T140" s="691">
        <v>0</v>
      </c>
      <c r="U140" s="691">
        <v>0</v>
      </c>
      <c r="V140" s="691">
        <v>0</v>
      </c>
      <c r="W140" s="691">
        <v>0</v>
      </c>
      <c r="X140" s="691">
        <v>0</v>
      </c>
      <c r="Y140" s="691">
        <v>0</v>
      </c>
      <c r="Z140" s="691">
        <v>0</v>
      </c>
      <c r="AA140" s="691">
        <v>0</v>
      </c>
      <c r="AB140" s="691">
        <v>0</v>
      </c>
      <c r="AC140" s="691">
        <v>0</v>
      </c>
      <c r="AD140" s="691">
        <v>0</v>
      </c>
      <c r="AE140" s="691">
        <v>0</v>
      </c>
      <c r="AF140" s="691">
        <v>0</v>
      </c>
      <c r="AG140" s="691">
        <v>0</v>
      </c>
      <c r="AH140" s="691">
        <v>0</v>
      </c>
      <c r="AI140" s="691">
        <v>0</v>
      </c>
      <c r="AJ140" s="691">
        <v>0</v>
      </c>
      <c r="AK140" s="691">
        <v>0</v>
      </c>
      <c r="AL140" s="691">
        <v>0</v>
      </c>
      <c r="AM140" s="691">
        <v>0</v>
      </c>
      <c r="AN140" s="691">
        <v>0</v>
      </c>
      <c r="AO140" s="692">
        <v>0</v>
      </c>
      <c r="AP140" s="628"/>
      <c r="AQ140" s="690">
        <v>0</v>
      </c>
      <c r="AR140" s="691">
        <v>0</v>
      </c>
      <c r="AS140" s="691">
        <v>0</v>
      </c>
      <c r="AT140" s="691">
        <v>946.75142459999995</v>
      </c>
      <c r="AU140" s="691">
        <v>946.75142459999995</v>
      </c>
      <c r="AV140" s="691">
        <v>946.75142459999995</v>
      </c>
      <c r="AW140" s="691">
        <v>946.75142459999995</v>
      </c>
      <c r="AX140" s="691">
        <v>0</v>
      </c>
      <c r="AY140" s="691">
        <v>0</v>
      </c>
      <c r="AZ140" s="691">
        <v>0</v>
      </c>
      <c r="BA140" s="691">
        <v>0</v>
      </c>
      <c r="BB140" s="691">
        <v>0</v>
      </c>
      <c r="BC140" s="691">
        <v>0</v>
      </c>
      <c r="BD140" s="691">
        <v>0</v>
      </c>
      <c r="BE140" s="691">
        <v>0</v>
      </c>
      <c r="BF140" s="691">
        <v>0</v>
      </c>
      <c r="BG140" s="691">
        <v>0</v>
      </c>
      <c r="BH140" s="691">
        <v>0</v>
      </c>
      <c r="BI140" s="691">
        <v>0</v>
      </c>
      <c r="BJ140" s="691">
        <v>0</v>
      </c>
      <c r="BK140" s="691">
        <v>0</v>
      </c>
      <c r="BL140" s="691">
        <v>0</v>
      </c>
      <c r="BM140" s="691">
        <v>0</v>
      </c>
      <c r="BN140" s="691">
        <v>0</v>
      </c>
      <c r="BO140" s="691">
        <v>0</v>
      </c>
      <c r="BP140" s="691">
        <v>0</v>
      </c>
      <c r="BQ140" s="691">
        <v>0</v>
      </c>
      <c r="BR140" s="691">
        <v>0</v>
      </c>
      <c r="BS140" s="691">
        <v>0</v>
      </c>
      <c r="BT140" s="692">
        <v>0</v>
      </c>
    </row>
    <row r="141" spans="2:72" hidden="1" outlineLevel="1">
      <c r="B141" s="752" t="s">
        <v>730</v>
      </c>
      <c r="C141" s="752" t="s">
        <v>731</v>
      </c>
      <c r="D141" s="752" t="s">
        <v>1</v>
      </c>
      <c r="E141" s="752" t="s">
        <v>733</v>
      </c>
      <c r="F141" s="752" t="s">
        <v>29</v>
      </c>
      <c r="G141" s="752" t="s">
        <v>739</v>
      </c>
      <c r="H141" s="752">
        <v>2014</v>
      </c>
      <c r="I141" s="639" t="s">
        <v>570</v>
      </c>
      <c r="J141" s="639" t="s">
        <v>585</v>
      </c>
      <c r="K141" s="628"/>
      <c r="L141" s="690">
        <v>0</v>
      </c>
      <c r="M141" s="691">
        <v>0</v>
      </c>
      <c r="N141" s="691">
        <v>0</v>
      </c>
      <c r="O141" s="691">
        <v>4.8791589427214737</v>
      </c>
      <c r="P141" s="691">
        <v>4.8791589427214737</v>
      </c>
      <c r="Q141" s="691">
        <v>4.8791589427214737</v>
      </c>
      <c r="R141" s="691">
        <v>4.8791589427214737</v>
      </c>
      <c r="S141" s="691">
        <v>0</v>
      </c>
      <c r="T141" s="691">
        <v>0</v>
      </c>
      <c r="U141" s="691">
        <v>0</v>
      </c>
      <c r="V141" s="691">
        <v>0</v>
      </c>
      <c r="W141" s="691">
        <v>0</v>
      </c>
      <c r="X141" s="691">
        <v>0</v>
      </c>
      <c r="Y141" s="691">
        <v>0</v>
      </c>
      <c r="Z141" s="691">
        <v>0</v>
      </c>
      <c r="AA141" s="691">
        <v>0</v>
      </c>
      <c r="AB141" s="691">
        <v>0</v>
      </c>
      <c r="AC141" s="691">
        <v>0</v>
      </c>
      <c r="AD141" s="691">
        <v>0</v>
      </c>
      <c r="AE141" s="691">
        <v>0</v>
      </c>
      <c r="AF141" s="691">
        <v>0</v>
      </c>
      <c r="AG141" s="691">
        <v>0</v>
      </c>
      <c r="AH141" s="691">
        <v>0</v>
      </c>
      <c r="AI141" s="691">
        <v>0</v>
      </c>
      <c r="AJ141" s="691">
        <v>0</v>
      </c>
      <c r="AK141" s="691">
        <v>0</v>
      </c>
      <c r="AL141" s="691">
        <v>0</v>
      </c>
      <c r="AM141" s="691">
        <v>0</v>
      </c>
      <c r="AN141" s="691">
        <v>0</v>
      </c>
      <c r="AO141" s="692">
        <v>0</v>
      </c>
      <c r="AP141" s="628"/>
      <c r="AQ141" s="690">
        <v>0</v>
      </c>
      <c r="AR141" s="691">
        <v>0</v>
      </c>
      <c r="AS141" s="691">
        <v>0</v>
      </c>
      <c r="AT141" s="691">
        <v>35327.884863543513</v>
      </c>
      <c r="AU141" s="691">
        <v>35327.884863543513</v>
      </c>
      <c r="AV141" s="691">
        <v>35327.884863543513</v>
      </c>
      <c r="AW141" s="691">
        <v>35327.884863543513</v>
      </c>
      <c r="AX141" s="691">
        <v>0</v>
      </c>
      <c r="AY141" s="691">
        <v>0</v>
      </c>
      <c r="AZ141" s="691">
        <v>0</v>
      </c>
      <c r="BA141" s="691">
        <v>0</v>
      </c>
      <c r="BB141" s="691">
        <v>0</v>
      </c>
      <c r="BC141" s="691">
        <v>0</v>
      </c>
      <c r="BD141" s="691">
        <v>0</v>
      </c>
      <c r="BE141" s="691">
        <v>0</v>
      </c>
      <c r="BF141" s="691">
        <v>0</v>
      </c>
      <c r="BG141" s="691">
        <v>0</v>
      </c>
      <c r="BH141" s="691">
        <v>0</v>
      </c>
      <c r="BI141" s="691">
        <v>0</v>
      </c>
      <c r="BJ141" s="691">
        <v>0</v>
      </c>
      <c r="BK141" s="691">
        <v>0</v>
      </c>
      <c r="BL141" s="691">
        <v>0</v>
      </c>
      <c r="BM141" s="691">
        <v>0</v>
      </c>
      <c r="BN141" s="691">
        <v>0</v>
      </c>
      <c r="BO141" s="691">
        <v>0</v>
      </c>
      <c r="BP141" s="691">
        <v>0</v>
      </c>
      <c r="BQ141" s="691">
        <v>0</v>
      </c>
      <c r="BR141" s="691">
        <v>0</v>
      </c>
      <c r="BS141" s="691">
        <v>0</v>
      </c>
      <c r="BT141" s="692">
        <v>0</v>
      </c>
    </row>
    <row r="142" spans="2:72" hidden="1" outlineLevel="1">
      <c r="B142" s="752" t="s">
        <v>730</v>
      </c>
      <c r="C142" s="752" t="s">
        <v>731</v>
      </c>
      <c r="D142" s="752" t="s">
        <v>1</v>
      </c>
      <c r="E142" s="752" t="s">
        <v>733</v>
      </c>
      <c r="F142" s="752" t="s">
        <v>29</v>
      </c>
      <c r="G142" s="752" t="s">
        <v>739</v>
      </c>
      <c r="H142" s="752">
        <v>2014</v>
      </c>
      <c r="I142" s="639" t="s">
        <v>570</v>
      </c>
      <c r="J142" s="639" t="s">
        <v>585</v>
      </c>
      <c r="K142" s="628"/>
      <c r="L142" s="690">
        <v>0</v>
      </c>
      <c r="M142" s="691">
        <v>0</v>
      </c>
      <c r="N142" s="691">
        <v>0</v>
      </c>
      <c r="O142" s="691">
        <v>6.968803609936054</v>
      </c>
      <c r="P142" s="691">
        <v>6.968803609936054</v>
      </c>
      <c r="Q142" s="691">
        <v>6.968803609936054</v>
      </c>
      <c r="R142" s="691">
        <v>6.968803609936054</v>
      </c>
      <c r="S142" s="691">
        <v>6.968803609936054</v>
      </c>
      <c r="T142" s="691">
        <v>0</v>
      </c>
      <c r="U142" s="691">
        <v>0</v>
      </c>
      <c r="V142" s="691">
        <v>0</v>
      </c>
      <c r="W142" s="691">
        <v>0</v>
      </c>
      <c r="X142" s="691">
        <v>0</v>
      </c>
      <c r="Y142" s="691">
        <v>0</v>
      </c>
      <c r="Z142" s="691">
        <v>0</v>
      </c>
      <c r="AA142" s="691">
        <v>0</v>
      </c>
      <c r="AB142" s="691">
        <v>0</v>
      </c>
      <c r="AC142" s="691">
        <v>0</v>
      </c>
      <c r="AD142" s="691">
        <v>0</v>
      </c>
      <c r="AE142" s="691">
        <v>0</v>
      </c>
      <c r="AF142" s="691">
        <v>0</v>
      </c>
      <c r="AG142" s="691">
        <v>0</v>
      </c>
      <c r="AH142" s="691">
        <v>0</v>
      </c>
      <c r="AI142" s="691">
        <v>0</v>
      </c>
      <c r="AJ142" s="691">
        <v>0</v>
      </c>
      <c r="AK142" s="691">
        <v>0</v>
      </c>
      <c r="AL142" s="691">
        <v>0</v>
      </c>
      <c r="AM142" s="691">
        <v>0</v>
      </c>
      <c r="AN142" s="691">
        <v>0</v>
      </c>
      <c r="AO142" s="692">
        <v>0</v>
      </c>
      <c r="AP142" s="628"/>
      <c r="AQ142" s="690">
        <v>0</v>
      </c>
      <c r="AR142" s="691">
        <v>0</v>
      </c>
      <c r="AS142" s="691">
        <v>0</v>
      </c>
      <c r="AT142" s="691">
        <v>47418.390722093885</v>
      </c>
      <c r="AU142" s="691">
        <v>47418.390722093885</v>
      </c>
      <c r="AV142" s="691">
        <v>47418.390722093885</v>
      </c>
      <c r="AW142" s="691">
        <v>47418.390722093885</v>
      </c>
      <c r="AX142" s="691">
        <v>47418.390722093885</v>
      </c>
      <c r="AY142" s="691">
        <v>0</v>
      </c>
      <c r="AZ142" s="691">
        <v>0</v>
      </c>
      <c r="BA142" s="691">
        <v>0</v>
      </c>
      <c r="BB142" s="691">
        <v>0</v>
      </c>
      <c r="BC142" s="691">
        <v>0</v>
      </c>
      <c r="BD142" s="691">
        <v>0</v>
      </c>
      <c r="BE142" s="691">
        <v>0</v>
      </c>
      <c r="BF142" s="691">
        <v>0</v>
      </c>
      <c r="BG142" s="691">
        <v>0</v>
      </c>
      <c r="BH142" s="691">
        <v>0</v>
      </c>
      <c r="BI142" s="691">
        <v>0</v>
      </c>
      <c r="BJ142" s="691">
        <v>0</v>
      </c>
      <c r="BK142" s="691">
        <v>0</v>
      </c>
      <c r="BL142" s="691">
        <v>0</v>
      </c>
      <c r="BM142" s="691">
        <v>0</v>
      </c>
      <c r="BN142" s="691">
        <v>0</v>
      </c>
      <c r="BO142" s="691">
        <v>0</v>
      </c>
      <c r="BP142" s="691">
        <v>0</v>
      </c>
      <c r="BQ142" s="691">
        <v>0</v>
      </c>
      <c r="BR142" s="691">
        <v>0</v>
      </c>
      <c r="BS142" s="691">
        <v>0</v>
      </c>
      <c r="BT142" s="692">
        <v>0</v>
      </c>
    </row>
    <row r="143" spans="2:72" hidden="1" outlineLevel="1">
      <c r="B143" s="752" t="s">
        <v>730</v>
      </c>
      <c r="C143" s="752" t="s">
        <v>731</v>
      </c>
      <c r="D143" s="752" t="s">
        <v>5</v>
      </c>
      <c r="E143" s="752" t="s">
        <v>733</v>
      </c>
      <c r="F143" s="752" t="s">
        <v>29</v>
      </c>
      <c r="G143" s="752" t="s">
        <v>739</v>
      </c>
      <c r="H143" s="752">
        <v>2014</v>
      </c>
      <c r="I143" s="639" t="s">
        <v>570</v>
      </c>
      <c r="J143" s="639" t="s">
        <v>585</v>
      </c>
      <c r="K143" s="628"/>
      <c r="L143" s="690">
        <v>0</v>
      </c>
      <c r="M143" s="691">
        <v>0</v>
      </c>
      <c r="N143" s="691">
        <v>0</v>
      </c>
      <c r="O143" s="691">
        <v>131.18887369999999</v>
      </c>
      <c r="P143" s="691">
        <v>114.5136487</v>
      </c>
      <c r="Q143" s="691">
        <v>105.8234447</v>
      </c>
      <c r="R143" s="691">
        <v>105.8234447</v>
      </c>
      <c r="S143" s="691">
        <v>105.8234447</v>
      </c>
      <c r="T143" s="691">
        <v>105.8234447</v>
      </c>
      <c r="U143" s="691">
        <v>105.8234447</v>
      </c>
      <c r="V143" s="691">
        <v>105.74429929999999</v>
      </c>
      <c r="W143" s="691">
        <v>105.74429929999999</v>
      </c>
      <c r="X143" s="691">
        <v>98.719655160000002</v>
      </c>
      <c r="Y143" s="691">
        <v>89.84094872</v>
      </c>
      <c r="Z143" s="691">
        <v>76.103567209999994</v>
      </c>
      <c r="AA143" s="691">
        <v>76.103567209999994</v>
      </c>
      <c r="AB143" s="691">
        <v>75.737358439999994</v>
      </c>
      <c r="AC143" s="691">
        <v>75.737358439999994</v>
      </c>
      <c r="AD143" s="691">
        <v>75.582659640000003</v>
      </c>
      <c r="AE143" s="691">
        <v>61.443736629999997</v>
      </c>
      <c r="AF143" s="691">
        <v>61.443736629999997</v>
      </c>
      <c r="AG143" s="691">
        <v>61.443736629999997</v>
      </c>
      <c r="AH143" s="691">
        <v>61.443736629999997</v>
      </c>
      <c r="AI143" s="691">
        <v>0</v>
      </c>
      <c r="AJ143" s="691">
        <v>0</v>
      </c>
      <c r="AK143" s="691">
        <v>0</v>
      </c>
      <c r="AL143" s="691">
        <v>0</v>
      </c>
      <c r="AM143" s="691">
        <v>0</v>
      </c>
      <c r="AN143" s="691">
        <v>0</v>
      </c>
      <c r="AO143" s="692">
        <v>0</v>
      </c>
      <c r="AP143" s="628"/>
      <c r="AQ143" s="690">
        <v>0</v>
      </c>
      <c r="AR143" s="691">
        <v>0</v>
      </c>
      <c r="AS143" s="691">
        <v>0</v>
      </c>
      <c r="AT143" s="691">
        <v>2004557.7609999999</v>
      </c>
      <c r="AU143" s="691">
        <v>1738932.683</v>
      </c>
      <c r="AV143" s="691">
        <v>1600503.6</v>
      </c>
      <c r="AW143" s="691">
        <v>1600503.6</v>
      </c>
      <c r="AX143" s="691">
        <v>1600503.6</v>
      </c>
      <c r="AY143" s="691">
        <v>1600503.6</v>
      </c>
      <c r="AZ143" s="691">
        <v>1600503.6</v>
      </c>
      <c r="BA143" s="691">
        <v>1599810.2860000001</v>
      </c>
      <c r="BB143" s="691">
        <v>1599810.2860000001</v>
      </c>
      <c r="BC143" s="691">
        <v>1487912.446</v>
      </c>
      <c r="BD143" s="691">
        <v>1446534.2450000001</v>
      </c>
      <c r="BE143" s="691">
        <v>1223201.452</v>
      </c>
      <c r="BF143" s="691">
        <v>1223201.452</v>
      </c>
      <c r="BG143" s="691">
        <v>1205685.3130000001</v>
      </c>
      <c r="BH143" s="691">
        <v>1205685.3130000001</v>
      </c>
      <c r="BI143" s="691">
        <v>1203980.7509999999</v>
      </c>
      <c r="BJ143" s="691">
        <v>978757.25080000004</v>
      </c>
      <c r="BK143" s="691">
        <v>978757.25080000004</v>
      </c>
      <c r="BL143" s="691">
        <v>978757.25080000004</v>
      </c>
      <c r="BM143" s="691">
        <v>978757.25080000004</v>
      </c>
      <c r="BN143" s="691">
        <v>0</v>
      </c>
      <c r="BO143" s="691">
        <v>0</v>
      </c>
      <c r="BP143" s="691">
        <v>0</v>
      </c>
      <c r="BQ143" s="691">
        <v>0</v>
      </c>
      <c r="BR143" s="691">
        <v>0</v>
      </c>
      <c r="BS143" s="691">
        <v>0</v>
      </c>
      <c r="BT143" s="692">
        <v>0</v>
      </c>
    </row>
    <row r="144" spans="2:72" hidden="1" outlineLevel="1">
      <c r="B144" s="752" t="s">
        <v>730</v>
      </c>
      <c r="C144" s="752" t="s">
        <v>731</v>
      </c>
      <c r="D144" s="752" t="s">
        <v>4</v>
      </c>
      <c r="E144" s="752" t="s">
        <v>733</v>
      </c>
      <c r="F144" s="752" t="s">
        <v>29</v>
      </c>
      <c r="G144" s="752" t="s">
        <v>739</v>
      </c>
      <c r="H144" s="752">
        <v>2014</v>
      </c>
      <c r="I144" s="639" t="s">
        <v>570</v>
      </c>
      <c r="J144" s="639" t="s">
        <v>585</v>
      </c>
      <c r="K144" s="628"/>
      <c r="L144" s="690">
        <v>0</v>
      </c>
      <c r="M144" s="691">
        <v>0</v>
      </c>
      <c r="N144" s="691">
        <v>0</v>
      </c>
      <c r="O144" s="691">
        <v>36.294705229999998</v>
      </c>
      <c r="P144" s="691">
        <v>34.278656349999999</v>
      </c>
      <c r="Q144" s="691">
        <v>33.291982590000003</v>
      </c>
      <c r="R144" s="691">
        <v>33.291982590000003</v>
      </c>
      <c r="S144" s="691">
        <v>33.291982590000003</v>
      </c>
      <c r="T144" s="691">
        <v>33.291982590000003</v>
      </c>
      <c r="U144" s="691">
        <v>33.291982590000003</v>
      </c>
      <c r="V144" s="691">
        <v>33.200470699999997</v>
      </c>
      <c r="W144" s="691">
        <v>33.200470699999997</v>
      </c>
      <c r="X144" s="691">
        <v>29.469890530000001</v>
      </c>
      <c r="Y144" s="691">
        <v>21.909568610000001</v>
      </c>
      <c r="Z144" s="691">
        <v>20.425448960000001</v>
      </c>
      <c r="AA144" s="691">
        <v>20.425448960000001</v>
      </c>
      <c r="AB144" s="691">
        <v>20.117934989999998</v>
      </c>
      <c r="AC144" s="691">
        <v>20.117934989999998</v>
      </c>
      <c r="AD144" s="691">
        <v>20.08330874</v>
      </c>
      <c r="AE144" s="691">
        <v>9.0556475340000002</v>
      </c>
      <c r="AF144" s="691">
        <v>9.0556475340000002</v>
      </c>
      <c r="AG144" s="691">
        <v>9.0556475340000002</v>
      </c>
      <c r="AH144" s="691">
        <v>9.0556475340000002</v>
      </c>
      <c r="AI144" s="691">
        <v>0</v>
      </c>
      <c r="AJ144" s="691">
        <v>0</v>
      </c>
      <c r="AK144" s="691">
        <v>0</v>
      </c>
      <c r="AL144" s="691">
        <v>0</v>
      </c>
      <c r="AM144" s="691">
        <v>0</v>
      </c>
      <c r="AN144" s="691">
        <v>0</v>
      </c>
      <c r="AO144" s="692">
        <v>0</v>
      </c>
      <c r="AP144" s="628"/>
      <c r="AQ144" s="690">
        <v>0</v>
      </c>
      <c r="AR144" s="691">
        <v>0</v>
      </c>
      <c r="AS144" s="691">
        <v>0</v>
      </c>
      <c r="AT144" s="691">
        <v>490141.37530000001</v>
      </c>
      <c r="AU144" s="691">
        <v>458027.07750000001</v>
      </c>
      <c r="AV144" s="691">
        <v>442310.03049999999</v>
      </c>
      <c r="AW144" s="691">
        <v>442310.03049999999</v>
      </c>
      <c r="AX144" s="691">
        <v>442310.03049999999</v>
      </c>
      <c r="AY144" s="691">
        <v>442310.03049999999</v>
      </c>
      <c r="AZ144" s="691">
        <v>442310.03049999999</v>
      </c>
      <c r="BA144" s="691">
        <v>441508.38630000001</v>
      </c>
      <c r="BB144" s="691">
        <v>441508.38630000001</v>
      </c>
      <c r="BC144" s="691">
        <v>382082.7622</v>
      </c>
      <c r="BD144" s="691">
        <v>354202.12729999999</v>
      </c>
      <c r="BE144" s="691">
        <v>326485.15980000002</v>
      </c>
      <c r="BF144" s="691">
        <v>326485.15980000002</v>
      </c>
      <c r="BG144" s="691">
        <v>320295.0845</v>
      </c>
      <c r="BH144" s="691">
        <v>320295.0845</v>
      </c>
      <c r="BI144" s="691">
        <v>319913.55219999998</v>
      </c>
      <c r="BJ144" s="691">
        <v>144250.35279999999</v>
      </c>
      <c r="BK144" s="691">
        <v>144250.35279999999</v>
      </c>
      <c r="BL144" s="691">
        <v>144250.35279999999</v>
      </c>
      <c r="BM144" s="691">
        <v>144250.35279999999</v>
      </c>
      <c r="BN144" s="691">
        <v>0</v>
      </c>
      <c r="BO144" s="691">
        <v>0</v>
      </c>
      <c r="BP144" s="691">
        <v>0</v>
      </c>
      <c r="BQ144" s="691">
        <v>0</v>
      </c>
      <c r="BR144" s="691">
        <v>0</v>
      </c>
      <c r="BS144" s="691">
        <v>0</v>
      </c>
      <c r="BT144" s="692">
        <v>0</v>
      </c>
    </row>
    <row r="145" spans="2:72" hidden="1" outlineLevel="1">
      <c r="B145" s="752" t="s">
        <v>730</v>
      </c>
      <c r="C145" s="752" t="s">
        <v>749</v>
      </c>
      <c r="D145" s="752" t="s">
        <v>14</v>
      </c>
      <c r="E145" s="752" t="s">
        <v>733</v>
      </c>
      <c r="F145" s="752" t="s">
        <v>29</v>
      </c>
      <c r="G145" s="752" t="s">
        <v>739</v>
      </c>
      <c r="H145" s="752">
        <v>2014</v>
      </c>
      <c r="I145" s="639" t="s">
        <v>570</v>
      </c>
      <c r="J145" s="639" t="s">
        <v>585</v>
      </c>
      <c r="K145" s="628"/>
      <c r="L145" s="690">
        <v>0</v>
      </c>
      <c r="M145" s="691">
        <v>0</v>
      </c>
      <c r="N145" s="691">
        <v>0</v>
      </c>
      <c r="O145" s="691">
        <v>36.638531260000001</v>
      </c>
      <c r="P145" s="691">
        <v>36.632339809999998</v>
      </c>
      <c r="Q145" s="691">
        <v>33.983522219999998</v>
      </c>
      <c r="R145" s="691">
        <v>32.683879060000002</v>
      </c>
      <c r="S145" s="691">
        <v>31.373245199999996</v>
      </c>
      <c r="T145" s="691">
        <v>31.373245199999996</v>
      </c>
      <c r="U145" s="691">
        <v>31.1108762</v>
      </c>
      <c r="V145" s="691">
        <v>31.1108762</v>
      </c>
      <c r="W145" s="691">
        <v>21.129071190000001</v>
      </c>
      <c r="X145" s="691">
        <v>20.92027118</v>
      </c>
      <c r="Y145" s="691">
        <v>20.60287005</v>
      </c>
      <c r="Z145" s="691">
        <v>20.60287005</v>
      </c>
      <c r="AA145" s="691">
        <v>19.744408669999999</v>
      </c>
      <c r="AB145" s="691">
        <v>19.744408669999999</v>
      </c>
      <c r="AC145" s="691">
        <v>17.13070875</v>
      </c>
      <c r="AD145" s="691">
        <v>16.50582751</v>
      </c>
      <c r="AE145" s="691">
        <v>16.50582751</v>
      </c>
      <c r="AF145" s="691">
        <v>16.50582751</v>
      </c>
      <c r="AG145" s="691">
        <v>16.50582751</v>
      </c>
      <c r="AH145" s="691">
        <v>16.50582751</v>
      </c>
      <c r="AI145" s="691">
        <v>0.60130000900000002</v>
      </c>
      <c r="AJ145" s="691">
        <v>0</v>
      </c>
      <c r="AK145" s="691">
        <v>0</v>
      </c>
      <c r="AL145" s="691">
        <v>0</v>
      </c>
      <c r="AM145" s="691">
        <v>0</v>
      </c>
      <c r="AN145" s="691">
        <v>0</v>
      </c>
      <c r="AO145" s="692">
        <v>0</v>
      </c>
      <c r="AP145" s="628"/>
      <c r="AQ145" s="690">
        <v>0</v>
      </c>
      <c r="AR145" s="691">
        <v>0</v>
      </c>
      <c r="AS145" s="691">
        <v>0</v>
      </c>
      <c r="AT145" s="691">
        <v>374684.2892</v>
      </c>
      <c r="AU145" s="691">
        <v>374563.71889999998</v>
      </c>
      <c r="AV145" s="691">
        <v>323779.50589999999</v>
      </c>
      <c r="AW145" s="691">
        <v>298869.68339999998</v>
      </c>
      <c r="AX145" s="691">
        <v>273672.40519999998</v>
      </c>
      <c r="AY145" s="691">
        <v>273672.40519999998</v>
      </c>
      <c r="AZ145" s="691">
        <v>268639.20390000002</v>
      </c>
      <c r="BA145" s="691">
        <v>268378.5257</v>
      </c>
      <c r="BB145" s="691">
        <v>77020.036980000004</v>
      </c>
      <c r="BC145" s="691">
        <v>76825.036980000004</v>
      </c>
      <c r="BD145" s="691">
        <v>74184.175140000007</v>
      </c>
      <c r="BE145" s="691">
        <v>74184.175140000007</v>
      </c>
      <c r="BF145" s="691">
        <v>71330.482449999996</v>
      </c>
      <c r="BG145" s="691">
        <v>71330.482449999996</v>
      </c>
      <c r="BH145" s="691">
        <v>49840.482450000003</v>
      </c>
      <c r="BI145" s="691">
        <v>44678.419950000003</v>
      </c>
      <c r="BJ145" s="691">
        <v>44678.419950000003</v>
      </c>
      <c r="BK145" s="691">
        <v>44678.419950000003</v>
      </c>
      <c r="BL145" s="691">
        <v>44678.419950000003</v>
      </c>
      <c r="BM145" s="691">
        <v>44678.419950000003</v>
      </c>
      <c r="BN145" s="691">
        <v>4431</v>
      </c>
      <c r="BO145" s="691">
        <v>0</v>
      </c>
      <c r="BP145" s="691">
        <v>0</v>
      </c>
      <c r="BQ145" s="691">
        <v>0</v>
      </c>
      <c r="BR145" s="691">
        <v>0</v>
      </c>
      <c r="BS145" s="691">
        <v>0</v>
      </c>
      <c r="BT145" s="692">
        <v>0</v>
      </c>
    </row>
    <row r="146" spans="2:72" hidden="1" outlineLevel="1">
      <c r="B146" s="752" t="s">
        <v>730</v>
      </c>
      <c r="C146" s="752" t="s">
        <v>731</v>
      </c>
      <c r="D146" s="752" t="s">
        <v>3</v>
      </c>
      <c r="E146" s="752" t="s">
        <v>733</v>
      </c>
      <c r="F146" s="752" t="s">
        <v>29</v>
      </c>
      <c r="G146" s="752" t="s">
        <v>739</v>
      </c>
      <c r="H146" s="752">
        <v>2014</v>
      </c>
      <c r="I146" s="639" t="s">
        <v>570</v>
      </c>
      <c r="J146" s="639" t="s">
        <v>585</v>
      </c>
      <c r="K146" s="628"/>
      <c r="L146" s="690">
        <v>0</v>
      </c>
      <c r="M146" s="691">
        <v>0</v>
      </c>
      <c r="N146" s="691">
        <v>0</v>
      </c>
      <c r="O146" s="691">
        <v>547.51710652899999</v>
      </c>
      <c r="P146" s="691">
        <v>547.51710652899999</v>
      </c>
      <c r="Q146" s="691">
        <v>547.51710652899999</v>
      </c>
      <c r="R146" s="691">
        <v>547.51710652899999</v>
      </c>
      <c r="S146" s="691">
        <v>547.51710652899999</v>
      </c>
      <c r="T146" s="691">
        <v>547.51710652899999</v>
      </c>
      <c r="U146" s="691">
        <v>547.51710652899999</v>
      </c>
      <c r="V146" s="691">
        <v>547.51710652899999</v>
      </c>
      <c r="W146" s="691">
        <v>547.51710652899999</v>
      </c>
      <c r="X146" s="691">
        <v>547.51710652899999</v>
      </c>
      <c r="Y146" s="691">
        <v>547.51710652899999</v>
      </c>
      <c r="Z146" s="691">
        <v>547.51710652899999</v>
      </c>
      <c r="AA146" s="691">
        <v>547.51710652899999</v>
      </c>
      <c r="AB146" s="691">
        <v>547.51710652899999</v>
      </c>
      <c r="AC146" s="691">
        <v>547.51710652899999</v>
      </c>
      <c r="AD146" s="691">
        <v>547.51710652899999</v>
      </c>
      <c r="AE146" s="691">
        <v>547.51710652899999</v>
      </c>
      <c r="AF146" s="691">
        <v>547.51710652899999</v>
      </c>
      <c r="AG146" s="691">
        <v>493.44043019999998</v>
      </c>
      <c r="AH146" s="691">
        <v>0</v>
      </c>
      <c r="AI146" s="691">
        <v>0</v>
      </c>
      <c r="AJ146" s="691">
        <v>0</v>
      </c>
      <c r="AK146" s="691">
        <v>0</v>
      </c>
      <c r="AL146" s="691">
        <v>0</v>
      </c>
      <c r="AM146" s="691">
        <v>0</v>
      </c>
      <c r="AN146" s="691">
        <v>0</v>
      </c>
      <c r="AO146" s="692">
        <v>0</v>
      </c>
      <c r="AP146" s="628"/>
      <c r="AQ146" s="690">
        <v>0</v>
      </c>
      <c r="AR146" s="691">
        <v>0</v>
      </c>
      <c r="AS146" s="691">
        <v>0</v>
      </c>
      <c r="AT146" s="691">
        <v>1013052.930347</v>
      </c>
      <c r="AU146" s="691">
        <v>1013052.930347</v>
      </c>
      <c r="AV146" s="691">
        <v>1013052.930347</v>
      </c>
      <c r="AW146" s="691">
        <v>1013052.930347</v>
      </c>
      <c r="AX146" s="691">
        <v>1013052.930347</v>
      </c>
      <c r="AY146" s="691">
        <v>1013052.930347</v>
      </c>
      <c r="AZ146" s="691">
        <v>1013052.930347</v>
      </c>
      <c r="BA146" s="691">
        <v>1013052.930347</v>
      </c>
      <c r="BB146" s="691">
        <v>1013052.930347</v>
      </c>
      <c r="BC146" s="691">
        <v>1013052.930347</v>
      </c>
      <c r="BD146" s="691">
        <v>1013052.930347</v>
      </c>
      <c r="BE146" s="691">
        <v>1013052.930347</v>
      </c>
      <c r="BF146" s="691">
        <v>1013052.930347</v>
      </c>
      <c r="BG146" s="691">
        <v>1013052.930347</v>
      </c>
      <c r="BH146" s="691">
        <v>1013052.930347</v>
      </c>
      <c r="BI146" s="691">
        <v>1013052.930347</v>
      </c>
      <c r="BJ146" s="691">
        <v>1013052.930347</v>
      </c>
      <c r="BK146" s="691">
        <v>1013052.930347</v>
      </c>
      <c r="BL146" s="691">
        <v>964694.62349999999</v>
      </c>
      <c r="BM146" s="691">
        <v>0</v>
      </c>
      <c r="BN146" s="691">
        <v>0</v>
      </c>
      <c r="BO146" s="691">
        <v>0</v>
      </c>
      <c r="BP146" s="691">
        <v>0</v>
      </c>
      <c r="BQ146" s="691">
        <v>0</v>
      </c>
      <c r="BR146" s="691">
        <v>0</v>
      </c>
      <c r="BS146" s="691">
        <v>0</v>
      </c>
      <c r="BT146" s="692">
        <v>0</v>
      </c>
    </row>
    <row r="147" spans="2:72" hidden="1" outlineLevel="1">
      <c r="B147" s="752" t="s">
        <v>730</v>
      </c>
      <c r="C147" s="752" t="s">
        <v>731</v>
      </c>
      <c r="D147" s="752" t="s">
        <v>7</v>
      </c>
      <c r="E147" s="752" t="s">
        <v>733</v>
      </c>
      <c r="F147" s="752" t="s">
        <v>29</v>
      </c>
      <c r="G147" s="752" t="s">
        <v>739</v>
      </c>
      <c r="H147" s="752">
        <v>2014</v>
      </c>
      <c r="I147" s="639" t="s">
        <v>570</v>
      </c>
      <c r="J147" s="639" t="s">
        <v>585</v>
      </c>
      <c r="K147" s="628"/>
      <c r="L147" s="690">
        <v>0</v>
      </c>
      <c r="M147" s="691">
        <v>0</v>
      </c>
      <c r="N147" s="691">
        <v>0</v>
      </c>
      <c r="O147" s="691">
        <v>15.924055190000001</v>
      </c>
      <c r="P147" s="691">
        <v>15.924055190000001</v>
      </c>
      <c r="Q147" s="691">
        <v>15.924055190000001</v>
      </c>
      <c r="R147" s="691">
        <v>15.924055190000001</v>
      </c>
      <c r="S147" s="691">
        <v>15.924055190000001</v>
      </c>
      <c r="T147" s="691">
        <v>15.924055190000001</v>
      </c>
      <c r="U147" s="691">
        <v>15.924055190000001</v>
      </c>
      <c r="V147" s="691">
        <v>15.924055190000001</v>
      </c>
      <c r="W147" s="691">
        <v>15.924055190000001</v>
      </c>
      <c r="X147" s="691">
        <v>15.924055190000001</v>
      </c>
      <c r="Y147" s="691">
        <v>15.868838240000002</v>
      </c>
      <c r="Z147" s="691">
        <v>15.868838240000002</v>
      </c>
      <c r="AA147" s="691">
        <v>15.02778824</v>
      </c>
      <c r="AB147" s="691">
        <v>14.18673824</v>
      </c>
      <c r="AC147" s="691">
        <v>14.18673824</v>
      </c>
      <c r="AD147" s="691">
        <v>14.18673824</v>
      </c>
      <c r="AE147" s="691">
        <v>14.18673824</v>
      </c>
      <c r="AF147" s="691">
        <v>14.18673824</v>
      </c>
      <c r="AG147" s="691">
        <v>3.46116431</v>
      </c>
      <c r="AH147" s="691">
        <v>3.46116431</v>
      </c>
      <c r="AI147" s="691">
        <v>0</v>
      </c>
      <c r="AJ147" s="691">
        <v>0</v>
      </c>
      <c r="AK147" s="691">
        <v>0</v>
      </c>
      <c r="AL147" s="691">
        <v>0</v>
      </c>
      <c r="AM147" s="691">
        <v>0</v>
      </c>
      <c r="AN147" s="691">
        <v>0</v>
      </c>
      <c r="AO147" s="692">
        <v>0</v>
      </c>
      <c r="AP147" s="628"/>
      <c r="AQ147" s="690">
        <v>0</v>
      </c>
      <c r="AR147" s="691">
        <v>0</v>
      </c>
      <c r="AS147" s="691">
        <v>0</v>
      </c>
      <c r="AT147" s="691">
        <v>106463.2675</v>
      </c>
      <c r="AU147" s="691">
        <v>106463.2675</v>
      </c>
      <c r="AV147" s="691">
        <v>106463.2675</v>
      </c>
      <c r="AW147" s="691">
        <v>106463.2675</v>
      </c>
      <c r="AX147" s="691">
        <v>106463.2675</v>
      </c>
      <c r="AY147" s="691">
        <v>106463.2675</v>
      </c>
      <c r="AZ147" s="691">
        <v>106463.2675</v>
      </c>
      <c r="BA147" s="691">
        <v>106463.2675</v>
      </c>
      <c r="BB147" s="691">
        <v>106463.2675</v>
      </c>
      <c r="BC147" s="691">
        <v>106463.2675</v>
      </c>
      <c r="BD147" s="691">
        <v>105639.196</v>
      </c>
      <c r="BE147" s="691">
        <v>105639.196</v>
      </c>
      <c r="BF147" s="691">
        <v>87825.945999999996</v>
      </c>
      <c r="BG147" s="691">
        <v>70012.695999999996</v>
      </c>
      <c r="BH147" s="691">
        <v>70012.695999999996</v>
      </c>
      <c r="BI147" s="691">
        <v>70012.695999999996</v>
      </c>
      <c r="BJ147" s="691">
        <v>70012.695999999996</v>
      </c>
      <c r="BK147" s="691">
        <v>70012.695999999996</v>
      </c>
      <c r="BL147" s="691">
        <v>51655.275000000001</v>
      </c>
      <c r="BM147" s="691">
        <v>51655.275000000001</v>
      </c>
      <c r="BN147" s="691">
        <v>0</v>
      </c>
      <c r="BO147" s="691">
        <v>0</v>
      </c>
      <c r="BP147" s="691">
        <v>0</v>
      </c>
      <c r="BQ147" s="691">
        <v>0</v>
      </c>
      <c r="BR147" s="691">
        <v>0</v>
      </c>
      <c r="BS147" s="691">
        <v>0</v>
      </c>
      <c r="BT147" s="692">
        <v>0</v>
      </c>
    </row>
    <row r="148" spans="2:72" hidden="1" outlineLevel="1">
      <c r="B148" s="752" t="s">
        <v>730</v>
      </c>
      <c r="C148" s="752" t="s">
        <v>490</v>
      </c>
      <c r="D148" s="752" t="s">
        <v>493</v>
      </c>
      <c r="E148" s="752" t="s">
        <v>733</v>
      </c>
      <c r="F148" s="752" t="s">
        <v>738</v>
      </c>
      <c r="G148" s="752" t="s">
        <v>739</v>
      </c>
      <c r="H148" s="752">
        <v>2014</v>
      </c>
      <c r="I148" s="639" t="s">
        <v>570</v>
      </c>
      <c r="J148" s="639" t="s">
        <v>585</v>
      </c>
      <c r="K148" s="628"/>
      <c r="L148" s="690">
        <v>0</v>
      </c>
      <c r="M148" s="691">
        <v>0</v>
      </c>
      <c r="N148" s="691">
        <v>0</v>
      </c>
      <c r="O148" s="691">
        <v>28.5562</v>
      </c>
      <c r="P148" s="691">
        <v>0</v>
      </c>
      <c r="Q148" s="691">
        <v>0</v>
      </c>
      <c r="R148" s="691">
        <v>0</v>
      </c>
      <c r="S148" s="691">
        <v>0</v>
      </c>
      <c r="T148" s="691">
        <v>0</v>
      </c>
      <c r="U148" s="691">
        <v>0</v>
      </c>
      <c r="V148" s="691">
        <v>0</v>
      </c>
      <c r="W148" s="691">
        <v>0</v>
      </c>
      <c r="X148" s="691">
        <v>0</v>
      </c>
      <c r="Y148" s="691">
        <v>0</v>
      </c>
      <c r="Z148" s="691">
        <v>0</v>
      </c>
      <c r="AA148" s="691">
        <v>0</v>
      </c>
      <c r="AB148" s="691">
        <v>0</v>
      </c>
      <c r="AC148" s="691">
        <v>0</v>
      </c>
      <c r="AD148" s="691">
        <v>0</v>
      </c>
      <c r="AE148" s="691">
        <v>0</v>
      </c>
      <c r="AF148" s="691">
        <v>0</v>
      </c>
      <c r="AG148" s="691">
        <v>0</v>
      </c>
      <c r="AH148" s="691">
        <v>0</v>
      </c>
      <c r="AI148" s="691">
        <v>0</v>
      </c>
      <c r="AJ148" s="691">
        <v>0</v>
      </c>
      <c r="AK148" s="691">
        <v>0</v>
      </c>
      <c r="AL148" s="691">
        <v>0</v>
      </c>
      <c r="AM148" s="691">
        <v>0</v>
      </c>
      <c r="AN148" s="691">
        <v>0</v>
      </c>
      <c r="AO148" s="692">
        <v>0</v>
      </c>
      <c r="AP148" s="628"/>
      <c r="AQ148" s="690">
        <v>0</v>
      </c>
      <c r="AR148" s="691">
        <v>0</v>
      </c>
      <c r="AS148" s="691">
        <v>0</v>
      </c>
      <c r="AT148" s="691">
        <v>216677.09700000001</v>
      </c>
      <c r="AU148" s="691">
        <v>0</v>
      </c>
      <c r="AV148" s="691">
        <v>0</v>
      </c>
      <c r="AW148" s="691">
        <v>0</v>
      </c>
      <c r="AX148" s="691">
        <v>0</v>
      </c>
      <c r="AY148" s="691">
        <v>0</v>
      </c>
      <c r="AZ148" s="691">
        <v>0</v>
      </c>
      <c r="BA148" s="691">
        <v>0</v>
      </c>
      <c r="BB148" s="691">
        <v>0</v>
      </c>
      <c r="BC148" s="691">
        <v>0</v>
      </c>
      <c r="BD148" s="691">
        <v>0</v>
      </c>
      <c r="BE148" s="691">
        <v>0</v>
      </c>
      <c r="BF148" s="691">
        <v>0</v>
      </c>
      <c r="BG148" s="691">
        <v>0</v>
      </c>
      <c r="BH148" s="691">
        <v>0</v>
      </c>
      <c r="BI148" s="691">
        <v>0</v>
      </c>
      <c r="BJ148" s="691">
        <v>0</v>
      </c>
      <c r="BK148" s="691">
        <v>0</v>
      </c>
      <c r="BL148" s="691">
        <v>0</v>
      </c>
      <c r="BM148" s="691">
        <v>0</v>
      </c>
      <c r="BN148" s="691">
        <v>0</v>
      </c>
      <c r="BO148" s="691">
        <v>0</v>
      </c>
      <c r="BP148" s="691">
        <v>0</v>
      </c>
      <c r="BQ148" s="691">
        <v>0</v>
      </c>
      <c r="BR148" s="691">
        <v>0</v>
      </c>
      <c r="BS148" s="691">
        <v>0</v>
      </c>
      <c r="BT148" s="692">
        <v>0</v>
      </c>
    </row>
    <row r="149" spans="2:72" hidden="1" outlineLevel="1">
      <c r="B149" s="752" t="s">
        <v>730</v>
      </c>
      <c r="C149" s="752" t="s">
        <v>490</v>
      </c>
      <c r="D149" s="752" t="s">
        <v>759</v>
      </c>
      <c r="E149" s="752" t="s">
        <v>733</v>
      </c>
      <c r="F149" s="752" t="s">
        <v>490</v>
      </c>
      <c r="G149" s="752" t="s">
        <v>734</v>
      </c>
      <c r="H149" s="752">
        <v>2014</v>
      </c>
      <c r="I149" s="639" t="s">
        <v>570</v>
      </c>
      <c r="J149" s="639" t="s">
        <v>585</v>
      </c>
      <c r="K149" s="628"/>
      <c r="L149" s="690">
        <v>0</v>
      </c>
      <c r="M149" s="691">
        <v>0</v>
      </c>
      <c r="N149" s="691">
        <v>0</v>
      </c>
      <c r="O149" s="691">
        <v>888.23582959999999</v>
      </c>
      <c r="P149" s="691">
        <v>0</v>
      </c>
      <c r="Q149" s="691">
        <v>0</v>
      </c>
      <c r="R149" s="691">
        <v>0</v>
      </c>
      <c r="S149" s="691">
        <v>0</v>
      </c>
      <c r="T149" s="691">
        <v>0</v>
      </c>
      <c r="U149" s="691">
        <v>0</v>
      </c>
      <c r="V149" s="691">
        <v>0</v>
      </c>
      <c r="W149" s="691">
        <v>0</v>
      </c>
      <c r="X149" s="691">
        <v>0</v>
      </c>
      <c r="Y149" s="691">
        <v>0</v>
      </c>
      <c r="Z149" s="691">
        <v>0</v>
      </c>
      <c r="AA149" s="691">
        <v>0</v>
      </c>
      <c r="AB149" s="691">
        <v>0</v>
      </c>
      <c r="AC149" s="691">
        <v>0</v>
      </c>
      <c r="AD149" s="691">
        <v>0</v>
      </c>
      <c r="AE149" s="691">
        <v>0</v>
      </c>
      <c r="AF149" s="691">
        <v>0</v>
      </c>
      <c r="AG149" s="691">
        <v>0</v>
      </c>
      <c r="AH149" s="691">
        <v>0</v>
      </c>
      <c r="AI149" s="691">
        <v>0</v>
      </c>
      <c r="AJ149" s="691">
        <v>0</v>
      </c>
      <c r="AK149" s="691">
        <v>0</v>
      </c>
      <c r="AL149" s="691">
        <v>0</v>
      </c>
      <c r="AM149" s="691">
        <v>0</v>
      </c>
      <c r="AN149" s="691">
        <v>0</v>
      </c>
      <c r="AO149" s="692">
        <v>0</v>
      </c>
      <c r="AP149" s="628"/>
      <c r="AQ149" s="690">
        <v>0</v>
      </c>
      <c r="AR149" s="691">
        <v>0</v>
      </c>
      <c r="AS149" s="691">
        <v>0</v>
      </c>
      <c r="AT149" s="691">
        <v>0</v>
      </c>
      <c r="AU149" s="691">
        <v>0</v>
      </c>
      <c r="AV149" s="691">
        <v>0</v>
      </c>
      <c r="AW149" s="691">
        <v>0</v>
      </c>
      <c r="AX149" s="691">
        <v>0</v>
      </c>
      <c r="AY149" s="691">
        <v>0</v>
      </c>
      <c r="AZ149" s="691">
        <v>0</v>
      </c>
      <c r="BA149" s="691">
        <v>0</v>
      </c>
      <c r="BB149" s="691">
        <v>0</v>
      </c>
      <c r="BC149" s="691">
        <v>0</v>
      </c>
      <c r="BD149" s="691">
        <v>0</v>
      </c>
      <c r="BE149" s="691">
        <v>0</v>
      </c>
      <c r="BF149" s="691">
        <v>0</v>
      </c>
      <c r="BG149" s="691">
        <v>0</v>
      </c>
      <c r="BH149" s="691">
        <v>0</v>
      </c>
      <c r="BI149" s="691">
        <v>0</v>
      </c>
      <c r="BJ149" s="691">
        <v>0</v>
      </c>
      <c r="BK149" s="691">
        <v>0</v>
      </c>
      <c r="BL149" s="691">
        <v>0</v>
      </c>
      <c r="BM149" s="691">
        <v>0</v>
      </c>
      <c r="BN149" s="691">
        <v>0</v>
      </c>
      <c r="BO149" s="691">
        <v>0</v>
      </c>
      <c r="BP149" s="691">
        <v>0</v>
      </c>
      <c r="BQ149" s="691">
        <v>0</v>
      </c>
      <c r="BR149" s="691">
        <v>0</v>
      </c>
      <c r="BS149" s="691">
        <v>0</v>
      </c>
      <c r="BT149" s="692">
        <v>0</v>
      </c>
    </row>
    <row r="150" spans="2:72" hidden="1" outlineLevel="1">
      <c r="B150" s="752" t="s">
        <v>730</v>
      </c>
      <c r="C150" s="752" t="s">
        <v>735</v>
      </c>
      <c r="D150" s="752" t="s">
        <v>760</v>
      </c>
      <c r="E150" s="752" t="s">
        <v>733</v>
      </c>
      <c r="F150" s="752" t="s">
        <v>738</v>
      </c>
      <c r="G150" s="752" t="s">
        <v>734</v>
      </c>
      <c r="H150" s="752">
        <v>2014</v>
      </c>
      <c r="I150" s="639" t="s">
        <v>570</v>
      </c>
      <c r="J150" s="639" t="s">
        <v>585</v>
      </c>
      <c r="K150" s="628"/>
      <c r="L150" s="690">
        <v>0</v>
      </c>
      <c r="M150" s="691">
        <v>0</v>
      </c>
      <c r="N150" s="691">
        <v>0</v>
      </c>
      <c r="O150" s="691">
        <v>185.5942</v>
      </c>
      <c r="P150" s="691">
        <v>0</v>
      </c>
      <c r="Q150" s="691">
        <v>0</v>
      </c>
      <c r="R150" s="691">
        <v>0</v>
      </c>
      <c r="S150" s="691">
        <v>0</v>
      </c>
      <c r="T150" s="691">
        <v>0</v>
      </c>
      <c r="U150" s="691">
        <v>0</v>
      </c>
      <c r="V150" s="691">
        <v>0</v>
      </c>
      <c r="W150" s="691">
        <v>0</v>
      </c>
      <c r="X150" s="691">
        <v>0</v>
      </c>
      <c r="Y150" s="691">
        <v>0</v>
      </c>
      <c r="Z150" s="691">
        <v>0</v>
      </c>
      <c r="AA150" s="691">
        <v>0</v>
      </c>
      <c r="AB150" s="691">
        <v>0</v>
      </c>
      <c r="AC150" s="691">
        <v>0</v>
      </c>
      <c r="AD150" s="691">
        <v>0</v>
      </c>
      <c r="AE150" s="691">
        <v>0</v>
      </c>
      <c r="AF150" s="691">
        <v>0</v>
      </c>
      <c r="AG150" s="691">
        <v>0</v>
      </c>
      <c r="AH150" s="691">
        <v>0</v>
      </c>
      <c r="AI150" s="691">
        <v>0</v>
      </c>
      <c r="AJ150" s="691">
        <v>0</v>
      </c>
      <c r="AK150" s="691">
        <v>0</v>
      </c>
      <c r="AL150" s="691">
        <v>0</v>
      </c>
      <c r="AM150" s="691">
        <v>0</v>
      </c>
      <c r="AN150" s="691">
        <v>0</v>
      </c>
      <c r="AO150" s="692">
        <v>0</v>
      </c>
      <c r="AP150" s="628"/>
      <c r="AQ150" s="690">
        <v>0</v>
      </c>
      <c r="AR150" s="691">
        <v>0</v>
      </c>
      <c r="AS150" s="691">
        <v>0</v>
      </c>
      <c r="AT150" s="691">
        <v>0</v>
      </c>
      <c r="AU150" s="691">
        <v>0</v>
      </c>
      <c r="AV150" s="691">
        <v>0</v>
      </c>
      <c r="AW150" s="691">
        <v>0</v>
      </c>
      <c r="AX150" s="691">
        <v>0</v>
      </c>
      <c r="AY150" s="691">
        <v>0</v>
      </c>
      <c r="AZ150" s="691">
        <v>0</v>
      </c>
      <c r="BA150" s="691">
        <v>0</v>
      </c>
      <c r="BB150" s="691">
        <v>0</v>
      </c>
      <c r="BC150" s="691">
        <v>0</v>
      </c>
      <c r="BD150" s="691">
        <v>0</v>
      </c>
      <c r="BE150" s="691">
        <v>0</v>
      </c>
      <c r="BF150" s="691">
        <v>0</v>
      </c>
      <c r="BG150" s="691">
        <v>0</v>
      </c>
      <c r="BH150" s="691">
        <v>0</v>
      </c>
      <c r="BI150" s="691">
        <v>0</v>
      </c>
      <c r="BJ150" s="691">
        <v>0</v>
      </c>
      <c r="BK150" s="691">
        <v>0</v>
      </c>
      <c r="BL150" s="691">
        <v>0</v>
      </c>
      <c r="BM150" s="691">
        <v>0</v>
      </c>
      <c r="BN150" s="691">
        <v>0</v>
      </c>
      <c r="BO150" s="691">
        <v>0</v>
      </c>
      <c r="BP150" s="691">
        <v>0</v>
      </c>
      <c r="BQ150" s="691">
        <v>0</v>
      </c>
      <c r="BR150" s="691">
        <v>0</v>
      </c>
      <c r="BS150" s="691">
        <v>0</v>
      </c>
      <c r="BT150" s="692">
        <v>0</v>
      </c>
    </row>
    <row r="151" spans="2:72" hidden="1" outlineLevel="1">
      <c r="B151" s="752" t="s">
        <v>730</v>
      </c>
      <c r="C151" s="752" t="s">
        <v>744</v>
      </c>
      <c r="D151" s="752" t="s">
        <v>9</v>
      </c>
      <c r="E151" s="752" t="s">
        <v>733</v>
      </c>
      <c r="F151" s="752" t="s">
        <v>744</v>
      </c>
      <c r="G151" s="752" t="s">
        <v>734</v>
      </c>
      <c r="H151" s="752">
        <v>2014</v>
      </c>
      <c r="I151" s="639" t="s">
        <v>570</v>
      </c>
      <c r="J151" s="639" t="s">
        <v>585</v>
      </c>
      <c r="K151" s="628"/>
      <c r="L151" s="690">
        <v>0</v>
      </c>
      <c r="M151" s="691">
        <v>0</v>
      </c>
      <c r="N151" s="691">
        <v>0</v>
      </c>
      <c r="O151" s="691">
        <v>48.45167</v>
      </c>
      <c r="P151" s="691">
        <v>0</v>
      </c>
      <c r="Q151" s="691">
        <v>0</v>
      </c>
      <c r="R151" s="691">
        <v>0</v>
      </c>
      <c r="S151" s="691">
        <v>0</v>
      </c>
      <c r="T151" s="691">
        <v>0</v>
      </c>
      <c r="U151" s="691">
        <v>0</v>
      </c>
      <c r="V151" s="691">
        <v>0</v>
      </c>
      <c r="W151" s="691">
        <v>0</v>
      </c>
      <c r="X151" s="691">
        <v>0</v>
      </c>
      <c r="Y151" s="691">
        <v>0</v>
      </c>
      <c r="Z151" s="691">
        <v>0</v>
      </c>
      <c r="AA151" s="691">
        <v>0</v>
      </c>
      <c r="AB151" s="691">
        <v>0</v>
      </c>
      <c r="AC151" s="691">
        <v>0</v>
      </c>
      <c r="AD151" s="691">
        <v>0</v>
      </c>
      <c r="AE151" s="691">
        <v>0</v>
      </c>
      <c r="AF151" s="691">
        <v>0</v>
      </c>
      <c r="AG151" s="691">
        <v>0</v>
      </c>
      <c r="AH151" s="691">
        <v>0</v>
      </c>
      <c r="AI151" s="691">
        <v>0</v>
      </c>
      <c r="AJ151" s="691">
        <v>0</v>
      </c>
      <c r="AK151" s="691">
        <v>0</v>
      </c>
      <c r="AL151" s="691">
        <v>0</v>
      </c>
      <c r="AM151" s="691">
        <v>0</v>
      </c>
      <c r="AN151" s="691">
        <v>0</v>
      </c>
      <c r="AO151" s="692">
        <v>0</v>
      </c>
      <c r="AP151" s="628"/>
      <c r="AQ151" s="690">
        <v>0</v>
      </c>
      <c r="AR151" s="691">
        <v>0</v>
      </c>
      <c r="AS151" s="691">
        <v>0</v>
      </c>
      <c r="AT151" s="691">
        <v>0</v>
      </c>
      <c r="AU151" s="691">
        <v>0</v>
      </c>
      <c r="AV151" s="691">
        <v>0</v>
      </c>
      <c r="AW151" s="691">
        <v>0</v>
      </c>
      <c r="AX151" s="691">
        <v>0</v>
      </c>
      <c r="AY151" s="691">
        <v>0</v>
      </c>
      <c r="AZ151" s="691">
        <v>0</v>
      </c>
      <c r="BA151" s="691">
        <v>0</v>
      </c>
      <c r="BB151" s="691">
        <v>0</v>
      </c>
      <c r="BC151" s="691">
        <v>0</v>
      </c>
      <c r="BD151" s="691">
        <v>0</v>
      </c>
      <c r="BE151" s="691">
        <v>0</v>
      </c>
      <c r="BF151" s="691">
        <v>0</v>
      </c>
      <c r="BG151" s="691">
        <v>0</v>
      </c>
      <c r="BH151" s="691">
        <v>0</v>
      </c>
      <c r="BI151" s="691">
        <v>0</v>
      </c>
      <c r="BJ151" s="691">
        <v>0</v>
      </c>
      <c r="BK151" s="691">
        <v>0</v>
      </c>
      <c r="BL151" s="691">
        <v>0</v>
      </c>
      <c r="BM151" s="691">
        <v>0</v>
      </c>
      <c r="BN151" s="691">
        <v>0</v>
      </c>
      <c r="BO151" s="691">
        <v>0</v>
      </c>
      <c r="BP151" s="691">
        <v>0</v>
      </c>
      <c r="BQ151" s="691">
        <v>0</v>
      </c>
      <c r="BR151" s="691">
        <v>0</v>
      </c>
      <c r="BS151" s="691">
        <v>0</v>
      </c>
      <c r="BT151" s="692">
        <v>0</v>
      </c>
    </row>
    <row r="152" spans="2:72" hidden="1" outlineLevel="1">
      <c r="B152" s="752" t="s">
        <v>730</v>
      </c>
      <c r="C152" s="752" t="s">
        <v>735</v>
      </c>
      <c r="D152" s="752" t="s">
        <v>760</v>
      </c>
      <c r="E152" s="752" t="s">
        <v>733</v>
      </c>
      <c r="F152" s="752" t="s">
        <v>738</v>
      </c>
      <c r="G152" s="752" t="s">
        <v>734</v>
      </c>
      <c r="H152" s="752">
        <v>2014</v>
      </c>
      <c r="I152" s="639" t="s">
        <v>570</v>
      </c>
      <c r="J152" s="639" t="s">
        <v>585</v>
      </c>
      <c r="K152" s="628"/>
      <c r="L152" s="690">
        <v>0</v>
      </c>
      <c r="M152" s="691">
        <v>0</v>
      </c>
      <c r="N152" s="691">
        <v>0</v>
      </c>
      <c r="O152" s="691">
        <v>448.58659999999998</v>
      </c>
      <c r="P152" s="691">
        <v>0</v>
      </c>
      <c r="Q152" s="691">
        <v>0</v>
      </c>
      <c r="R152" s="691">
        <v>0</v>
      </c>
      <c r="S152" s="691">
        <v>0</v>
      </c>
      <c r="T152" s="691">
        <v>0</v>
      </c>
      <c r="U152" s="691">
        <v>0</v>
      </c>
      <c r="V152" s="691">
        <v>0</v>
      </c>
      <c r="W152" s="691">
        <v>0</v>
      </c>
      <c r="X152" s="691">
        <v>0</v>
      </c>
      <c r="Y152" s="691">
        <v>0</v>
      </c>
      <c r="Z152" s="691">
        <v>0</v>
      </c>
      <c r="AA152" s="691">
        <v>0</v>
      </c>
      <c r="AB152" s="691">
        <v>0</v>
      </c>
      <c r="AC152" s="691">
        <v>0</v>
      </c>
      <c r="AD152" s="691">
        <v>0</v>
      </c>
      <c r="AE152" s="691">
        <v>0</v>
      </c>
      <c r="AF152" s="691">
        <v>0</v>
      </c>
      <c r="AG152" s="691">
        <v>0</v>
      </c>
      <c r="AH152" s="691">
        <v>0</v>
      </c>
      <c r="AI152" s="691">
        <v>0</v>
      </c>
      <c r="AJ152" s="691">
        <v>0</v>
      </c>
      <c r="AK152" s="691">
        <v>0</v>
      </c>
      <c r="AL152" s="691">
        <v>0</v>
      </c>
      <c r="AM152" s="691">
        <v>0</v>
      </c>
      <c r="AN152" s="691">
        <v>0</v>
      </c>
      <c r="AO152" s="692">
        <v>0</v>
      </c>
      <c r="AP152" s="628"/>
      <c r="AQ152" s="690">
        <v>0</v>
      </c>
      <c r="AR152" s="691">
        <v>0</v>
      </c>
      <c r="AS152" s="691">
        <v>0</v>
      </c>
      <c r="AT152" s="691">
        <v>0</v>
      </c>
      <c r="AU152" s="691">
        <v>0</v>
      </c>
      <c r="AV152" s="691">
        <v>0</v>
      </c>
      <c r="AW152" s="691">
        <v>0</v>
      </c>
      <c r="AX152" s="691">
        <v>0</v>
      </c>
      <c r="AY152" s="691">
        <v>0</v>
      </c>
      <c r="AZ152" s="691">
        <v>0</v>
      </c>
      <c r="BA152" s="691">
        <v>0</v>
      </c>
      <c r="BB152" s="691">
        <v>0</v>
      </c>
      <c r="BC152" s="691">
        <v>0</v>
      </c>
      <c r="BD152" s="691">
        <v>0</v>
      </c>
      <c r="BE152" s="691">
        <v>0</v>
      </c>
      <c r="BF152" s="691">
        <v>0</v>
      </c>
      <c r="BG152" s="691">
        <v>0</v>
      </c>
      <c r="BH152" s="691">
        <v>0</v>
      </c>
      <c r="BI152" s="691">
        <v>0</v>
      </c>
      <c r="BJ152" s="691">
        <v>0</v>
      </c>
      <c r="BK152" s="691">
        <v>0</v>
      </c>
      <c r="BL152" s="691">
        <v>0</v>
      </c>
      <c r="BM152" s="691">
        <v>0</v>
      </c>
      <c r="BN152" s="691">
        <v>0</v>
      </c>
      <c r="BO152" s="691">
        <v>0</v>
      </c>
      <c r="BP152" s="691">
        <v>0</v>
      </c>
      <c r="BQ152" s="691">
        <v>0</v>
      </c>
      <c r="BR152" s="691">
        <v>0</v>
      </c>
      <c r="BS152" s="691">
        <v>0</v>
      </c>
      <c r="BT152" s="692">
        <v>0</v>
      </c>
    </row>
    <row r="153" spans="2:72" hidden="1" outlineLevel="1">
      <c r="B153" s="752" t="s">
        <v>730</v>
      </c>
      <c r="C153" s="752" t="s">
        <v>735</v>
      </c>
      <c r="D153" s="752" t="s">
        <v>737</v>
      </c>
      <c r="E153" s="752" t="s">
        <v>733</v>
      </c>
      <c r="F153" s="752" t="s">
        <v>738</v>
      </c>
      <c r="G153" s="752" t="s">
        <v>734</v>
      </c>
      <c r="H153" s="752">
        <v>2014</v>
      </c>
      <c r="I153" s="639" t="s">
        <v>570</v>
      </c>
      <c r="J153" s="639" t="s">
        <v>585</v>
      </c>
      <c r="K153" s="628"/>
      <c r="L153" s="690">
        <v>0</v>
      </c>
      <c r="M153" s="691">
        <v>0</v>
      </c>
      <c r="N153" s="691">
        <v>0</v>
      </c>
      <c r="O153" s="691">
        <v>6.736599</v>
      </c>
      <c r="P153" s="691">
        <v>0</v>
      </c>
      <c r="Q153" s="691">
        <v>0</v>
      </c>
      <c r="R153" s="691">
        <v>0</v>
      </c>
      <c r="S153" s="691">
        <v>0</v>
      </c>
      <c r="T153" s="691">
        <v>0</v>
      </c>
      <c r="U153" s="691">
        <v>0</v>
      </c>
      <c r="V153" s="691">
        <v>0</v>
      </c>
      <c r="W153" s="691">
        <v>0</v>
      </c>
      <c r="X153" s="691">
        <v>0</v>
      </c>
      <c r="Y153" s="691">
        <v>0</v>
      </c>
      <c r="Z153" s="691">
        <v>0</v>
      </c>
      <c r="AA153" s="691">
        <v>0</v>
      </c>
      <c r="AB153" s="691">
        <v>0</v>
      </c>
      <c r="AC153" s="691">
        <v>0</v>
      </c>
      <c r="AD153" s="691">
        <v>0</v>
      </c>
      <c r="AE153" s="691">
        <v>0</v>
      </c>
      <c r="AF153" s="691">
        <v>0</v>
      </c>
      <c r="AG153" s="691">
        <v>0</v>
      </c>
      <c r="AH153" s="691">
        <v>0</v>
      </c>
      <c r="AI153" s="691">
        <v>0</v>
      </c>
      <c r="AJ153" s="691">
        <v>0</v>
      </c>
      <c r="AK153" s="691">
        <v>0</v>
      </c>
      <c r="AL153" s="691">
        <v>0</v>
      </c>
      <c r="AM153" s="691">
        <v>0</v>
      </c>
      <c r="AN153" s="691">
        <v>0</v>
      </c>
      <c r="AO153" s="692">
        <v>0</v>
      </c>
      <c r="AP153" s="628"/>
      <c r="AQ153" s="690">
        <v>0</v>
      </c>
      <c r="AR153" s="691">
        <v>0</v>
      </c>
      <c r="AS153" s="691">
        <v>0</v>
      </c>
      <c r="AT153" s="691">
        <v>0</v>
      </c>
      <c r="AU153" s="691">
        <v>0</v>
      </c>
      <c r="AV153" s="691">
        <v>0</v>
      </c>
      <c r="AW153" s="691">
        <v>0</v>
      </c>
      <c r="AX153" s="691">
        <v>0</v>
      </c>
      <c r="AY153" s="691">
        <v>0</v>
      </c>
      <c r="AZ153" s="691">
        <v>0</v>
      </c>
      <c r="BA153" s="691">
        <v>0</v>
      </c>
      <c r="BB153" s="691">
        <v>0</v>
      </c>
      <c r="BC153" s="691">
        <v>0</v>
      </c>
      <c r="BD153" s="691">
        <v>0</v>
      </c>
      <c r="BE153" s="691">
        <v>0</v>
      </c>
      <c r="BF153" s="691">
        <v>0</v>
      </c>
      <c r="BG153" s="691">
        <v>0</v>
      </c>
      <c r="BH153" s="691">
        <v>0</v>
      </c>
      <c r="BI153" s="691">
        <v>0</v>
      </c>
      <c r="BJ153" s="691">
        <v>0</v>
      </c>
      <c r="BK153" s="691">
        <v>0</v>
      </c>
      <c r="BL153" s="691">
        <v>0</v>
      </c>
      <c r="BM153" s="691">
        <v>0</v>
      </c>
      <c r="BN153" s="691">
        <v>0</v>
      </c>
      <c r="BO153" s="691">
        <v>0</v>
      </c>
      <c r="BP153" s="691">
        <v>0</v>
      </c>
      <c r="BQ153" s="691">
        <v>0</v>
      </c>
      <c r="BR153" s="691">
        <v>0</v>
      </c>
      <c r="BS153" s="691">
        <v>0</v>
      </c>
      <c r="BT153" s="692">
        <v>0</v>
      </c>
    </row>
    <row r="154" spans="2:72" hidden="1" outlineLevel="1">
      <c r="B154" s="752" t="s">
        <v>730</v>
      </c>
      <c r="C154" s="752" t="s">
        <v>731</v>
      </c>
      <c r="D154" s="752" t="s">
        <v>42</v>
      </c>
      <c r="E154" s="752" t="s">
        <v>733</v>
      </c>
      <c r="F154" s="752" t="s">
        <v>29</v>
      </c>
      <c r="G154" s="752" t="s">
        <v>734</v>
      </c>
      <c r="H154" s="752">
        <v>2014</v>
      </c>
      <c r="I154" s="639" t="s">
        <v>570</v>
      </c>
      <c r="J154" s="639" t="s">
        <v>585</v>
      </c>
      <c r="K154" s="628"/>
      <c r="L154" s="690">
        <v>0</v>
      </c>
      <c r="M154" s="691">
        <v>0</v>
      </c>
      <c r="N154" s="691">
        <v>0</v>
      </c>
      <c r="O154" s="691">
        <v>273.4289</v>
      </c>
      <c r="P154" s="691">
        <v>0</v>
      </c>
      <c r="Q154" s="691">
        <v>0</v>
      </c>
      <c r="R154" s="691">
        <v>0</v>
      </c>
      <c r="S154" s="691">
        <v>0</v>
      </c>
      <c r="T154" s="691">
        <v>0</v>
      </c>
      <c r="U154" s="691">
        <v>0</v>
      </c>
      <c r="V154" s="691">
        <v>0</v>
      </c>
      <c r="W154" s="691">
        <v>0</v>
      </c>
      <c r="X154" s="691">
        <v>0</v>
      </c>
      <c r="Y154" s="691">
        <v>0</v>
      </c>
      <c r="Z154" s="691">
        <v>0</v>
      </c>
      <c r="AA154" s="691">
        <v>0</v>
      </c>
      <c r="AB154" s="691">
        <v>0</v>
      </c>
      <c r="AC154" s="691">
        <v>0</v>
      </c>
      <c r="AD154" s="691">
        <v>0</v>
      </c>
      <c r="AE154" s="691">
        <v>0</v>
      </c>
      <c r="AF154" s="691">
        <v>0</v>
      </c>
      <c r="AG154" s="691">
        <v>0</v>
      </c>
      <c r="AH154" s="691">
        <v>0</v>
      </c>
      <c r="AI154" s="691">
        <v>0</v>
      </c>
      <c r="AJ154" s="691">
        <v>0</v>
      </c>
      <c r="AK154" s="691">
        <v>0</v>
      </c>
      <c r="AL154" s="691">
        <v>0</v>
      </c>
      <c r="AM154" s="691">
        <v>0</v>
      </c>
      <c r="AN154" s="691">
        <v>0</v>
      </c>
      <c r="AO154" s="692">
        <v>0</v>
      </c>
      <c r="AP154" s="628"/>
      <c r="AQ154" s="690">
        <v>0</v>
      </c>
      <c r="AR154" s="691">
        <v>0</v>
      </c>
      <c r="AS154" s="691">
        <v>0</v>
      </c>
      <c r="AT154" s="691">
        <v>0</v>
      </c>
      <c r="AU154" s="691">
        <v>0</v>
      </c>
      <c r="AV154" s="691">
        <v>0</v>
      </c>
      <c r="AW154" s="691">
        <v>0</v>
      </c>
      <c r="AX154" s="691">
        <v>0</v>
      </c>
      <c r="AY154" s="691">
        <v>0</v>
      </c>
      <c r="AZ154" s="691">
        <v>0</v>
      </c>
      <c r="BA154" s="691">
        <v>0</v>
      </c>
      <c r="BB154" s="691">
        <v>0</v>
      </c>
      <c r="BC154" s="691">
        <v>0</v>
      </c>
      <c r="BD154" s="691">
        <v>0</v>
      </c>
      <c r="BE154" s="691">
        <v>0</v>
      </c>
      <c r="BF154" s="691">
        <v>0</v>
      </c>
      <c r="BG154" s="691">
        <v>0</v>
      </c>
      <c r="BH154" s="691">
        <v>0</v>
      </c>
      <c r="BI154" s="691">
        <v>0</v>
      </c>
      <c r="BJ154" s="691">
        <v>0</v>
      </c>
      <c r="BK154" s="691">
        <v>0</v>
      </c>
      <c r="BL154" s="691">
        <v>0</v>
      </c>
      <c r="BM154" s="691">
        <v>0</v>
      </c>
      <c r="BN154" s="691">
        <v>0</v>
      </c>
      <c r="BO154" s="691">
        <v>0</v>
      </c>
      <c r="BP154" s="691">
        <v>0</v>
      </c>
      <c r="BQ154" s="691">
        <v>0</v>
      </c>
      <c r="BR154" s="691">
        <v>0</v>
      </c>
      <c r="BS154" s="691">
        <v>0</v>
      </c>
      <c r="BT154" s="692">
        <v>0</v>
      </c>
    </row>
    <row r="155" spans="2:72" hidden="1" outlineLevel="1">
      <c r="B155" s="752" t="s">
        <v>730</v>
      </c>
      <c r="C155" s="752" t="s">
        <v>744</v>
      </c>
      <c r="D155" s="752" t="s">
        <v>9</v>
      </c>
      <c r="E155" s="752" t="s">
        <v>733</v>
      </c>
      <c r="F155" s="752" t="s">
        <v>744</v>
      </c>
      <c r="G155" s="752" t="s">
        <v>734</v>
      </c>
      <c r="H155" s="752">
        <v>2014</v>
      </c>
      <c r="I155" s="639" t="s">
        <v>570</v>
      </c>
      <c r="J155" s="639" t="s">
        <v>585</v>
      </c>
      <c r="K155" s="628"/>
      <c r="L155" s="690">
        <v>0</v>
      </c>
      <c r="M155" s="691">
        <v>0</v>
      </c>
      <c r="N155" s="691">
        <v>0</v>
      </c>
      <c r="O155" s="691">
        <v>5272.8559999999998</v>
      </c>
      <c r="P155" s="691">
        <v>0</v>
      </c>
      <c r="Q155" s="691">
        <v>0</v>
      </c>
      <c r="R155" s="691">
        <v>0</v>
      </c>
      <c r="S155" s="691">
        <v>0</v>
      </c>
      <c r="T155" s="691">
        <v>0</v>
      </c>
      <c r="U155" s="691">
        <v>0</v>
      </c>
      <c r="V155" s="691">
        <v>0</v>
      </c>
      <c r="W155" s="691">
        <v>0</v>
      </c>
      <c r="X155" s="691">
        <v>0</v>
      </c>
      <c r="Y155" s="691">
        <v>0</v>
      </c>
      <c r="Z155" s="691">
        <v>0</v>
      </c>
      <c r="AA155" s="691">
        <v>0</v>
      </c>
      <c r="AB155" s="691">
        <v>0</v>
      </c>
      <c r="AC155" s="691">
        <v>0</v>
      </c>
      <c r="AD155" s="691">
        <v>0</v>
      </c>
      <c r="AE155" s="691">
        <v>0</v>
      </c>
      <c r="AF155" s="691">
        <v>0</v>
      </c>
      <c r="AG155" s="691">
        <v>0</v>
      </c>
      <c r="AH155" s="691">
        <v>0</v>
      </c>
      <c r="AI155" s="691">
        <v>0</v>
      </c>
      <c r="AJ155" s="691">
        <v>0</v>
      </c>
      <c r="AK155" s="691">
        <v>0</v>
      </c>
      <c r="AL155" s="691">
        <v>0</v>
      </c>
      <c r="AM155" s="691">
        <v>0</v>
      </c>
      <c r="AN155" s="691">
        <v>0</v>
      </c>
      <c r="AO155" s="692">
        <v>0</v>
      </c>
      <c r="AP155" s="628"/>
      <c r="AQ155" s="690">
        <v>0</v>
      </c>
      <c r="AR155" s="691">
        <v>0</v>
      </c>
      <c r="AS155" s="691">
        <v>0</v>
      </c>
      <c r="AT155" s="691">
        <v>0</v>
      </c>
      <c r="AU155" s="691">
        <v>0</v>
      </c>
      <c r="AV155" s="691">
        <v>0</v>
      </c>
      <c r="AW155" s="691">
        <v>0</v>
      </c>
      <c r="AX155" s="691">
        <v>0</v>
      </c>
      <c r="AY155" s="691">
        <v>0</v>
      </c>
      <c r="AZ155" s="691">
        <v>0</v>
      </c>
      <c r="BA155" s="691">
        <v>0</v>
      </c>
      <c r="BB155" s="691">
        <v>0</v>
      </c>
      <c r="BC155" s="691">
        <v>0</v>
      </c>
      <c r="BD155" s="691">
        <v>0</v>
      </c>
      <c r="BE155" s="691">
        <v>0</v>
      </c>
      <c r="BF155" s="691">
        <v>0</v>
      </c>
      <c r="BG155" s="691">
        <v>0</v>
      </c>
      <c r="BH155" s="691">
        <v>0</v>
      </c>
      <c r="BI155" s="691">
        <v>0</v>
      </c>
      <c r="BJ155" s="691">
        <v>0</v>
      </c>
      <c r="BK155" s="691">
        <v>0</v>
      </c>
      <c r="BL155" s="691">
        <v>0</v>
      </c>
      <c r="BM155" s="691">
        <v>0</v>
      </c>
      <c r="BN155" s="691">
        <v>0</v>
      </c>
      <c r="BO155" s="691">
        <v>0</v>
      </c>
      <c r="BP155" s="691">
        <v>0</v>
      </c>
      <c r="BQ155" s="691">
        <v>0</v>
      </c>
      <c r="BR155" s="691">
        <v>0</v>
      </c>
      <c r="BS155" s="691">
        <v>0</v>
      </c>
      <c r="BT155" s="692">
        <v>0</v>
      </c>
    </row>
    <row r="156" spans="2:72" hidden="1" outlineLevel="1">
      <c r="B156" s="752" t="s">
        <v>730</v>
      </c>
      <c r="C156" s="752" t="s">
        <v>744</v>
      </c>
      <c r="D156" s="752" t="s">
        <v>752</v>
      </c>
      <c r="E156" s="752" t="s">
        <v>733</v>
      </c>
      <c r="F156" s="752" t="s">
        <v>744</v>
      </c>
      <c r="G156" s="752" t="s">
        <v>739</v>
      </c>
      <c r="H156" s="752">
        <v>2014</v>
      </c>
      <c r="I156" s="639" t="s">
        <v>570</v>
      </c>
      <c r="J156" s="639" t="s">
        <v>585</v>
      </c>
      <c r="K156" s="628"/>
      <c r="L156" s="690">
        <v>0</v>
      </c>
      <c r="M156" s="691">
        <v>0</v>
      </c>
      <c r="N156" s="691">
        <v>0</v>
      </c>
      <c r="O156" s="691">
        <v>124.35728760000001</v>
      </c>
      <c r="P156" s="691">
        <v>124.35728760000001</v>
      </c>
      <c r="Q156" s="691">
        <v>124.35728760000001</v>
      </c>
      <c r="R156" s="691">
        <v>124.35728760000001</v>
      </c>
      <c r="S156" s="691">
        <v>124.1298513</v>
      </c>
      <c r="T156" s="691">
        <v>124.1298513</v>
      </c>
      <c r="U156" s="691">
        <v>124.1298513</v>
      </c>
      <c r="V156" s="691">
        <v>124.1298513</v>
      </c>
      <c r="W156" s="691">
        <v>124.1298513</v>
      </c>
      <c r="X156" s="691">
        <v>124.1298513</v>
      </c>
      <c r="Y156" s="691">
        <v>104.5849077</v>
      </c>
      <c r="Z156" s="691">
        <v>103.42651410000001</v>
      </c>
      <c r="AA156" s="691">
        <v>103.42651410000001</v>
      </c>
      <c r="AB156" s="691">
        <v>103.42651410000001</v>
      </c>
      <c r="AC156" s="691">
        <v>103.42651410000001</v>
      </c>
      <c r="AD156" s="691">
        <v>103.42651410000001</v>
      </c>
      <c r="AE156" s="691">
        <v>103.42651410000001</v>
      </c>
      <c r="AF156" s="691">
        <v>103.42651410000001</v>
      </c>
      <c r="AG156" s="691">
        <v>103.42651410000001</v>
      </c>
      <c r="AH156" s="691">
        <v>103.42651410000001</v>
      </c>
      <c r="AI156" s="691">
        <v>0</v>
      </c>
      <c r="AJ156" s="691">
        <v>0</v>
      </c>
      <c r="AK156" s="691">
        <v>0</v>
      </c>
      <c r="AL156" s="691">
        <v>0</v>
      </c>
      <c r="AM156" s="691">
        <v>0</v>
      </c>
      <c r="AN156" s="691">
        <v>0</v>
      </c>
      <c r="AO156" s="692">
        <v>0</v>
      </c>
      <c r="AP156" s="628"/>
      <c r="AQ156" s="690">
        <v>0</v>
      </c>
      <c r="AR156" s="691">
        <v>0</v>
      </c>
      <c r="AS156" s="691">
        <v>0</v>
      </c>
      <c r="AT156" s="691">
        <v>358215.1422</v>
      </c>
      <c r="AU156" s="691">
        <v>358215.1422</v>
      </c>
      <c r="AV156" s="691">
        <v>358215.1422</v>
      </c>
      <c r="AW156" s="691">
        <v>358215.1422</v>
      </c>
      <c r="AX156" s="691">
        <v>356055.1422</v>
      </c>
      <c r="AY156" s="691">
        <v>356055.1422</v>
      </c>
      <c r="AZ156" s="691">
        <v>356055.1422</v>
      </c>
      <c r="BA156" s="691">
        <v>356055.1422</v>
      </c>
      <c r="BB156" s="691">
        <v>356055.1422</v>
      </c>
      <c r="BC156" s="691">
        <v>356055.1422</v>
      </c>
      <c r="BD156" s="691">
        <v>300992.2782</v>
      </c>
      <c r="BE156" s="691">
        <v>289273.84620000003</v>
      </c>
      <c r="BF156" s="691">
        <v>289273.84620000003</v>
      </c>
      <c r="BG156" s="691">
        <v>289273.84620000003</v>
      </c>
      <c r="BH156" s="691">
        <v>289273.84620000003</v>
      </c>
      <c r="BI156" s="691">
        <v>289273.84620000003</v>
      </c>
      <c r="BJ156" s="691">
        <v>289273.84620000003</v>
      </c>
      <c r="BK156" s="691">
        <v>289273.84620000003</v>
      </c>
      <c r="BL156" s="691">
        <v>289273.84620000003</v>
      </c>
      <c r="BM156" s="691">
        <v>289273.84620000003</v>
      </c>
      <c r="BN156" s="691">
        <v>0</v>
      </c>
      <c r="BO156" s="691">
        <v>0</v>
      </c>
      <c r="BP156" s="691">
        <v>0</v>
      </c>
      <c r="BQ156" s="691">
        <v>0</v>
      </c>
      <c r="BR156" s="691">
        <v>0</v>
      </c>
      <c r="BS156" s="691">
        <v>0</v>
      </c>
      <c r="BT156" s="692">
        <v>0</v>
      </c>
    </row>
    <row r="157" spans="2:72" hidden="1" outlineLevel="1">
      <c r="B157" s="752"/>
      <c r="C157" s="752"/>
      <c r="D157" s="752" t="s">
        <v>95</v>
      </c>
      <c r="E157" s="752"/>
      <c r="F157" s="752"/>
      <c r="G157" s="752"/>
      <c r="H157" s="889">
        <v>2015</v>
      </c>
      <c r="I157" s="639" t="s">
        <v>571</v>
      </c>
      <c r="J157" s="639" t="s">
        <v>585</v>
      </c>
      <c r="K157" s="628"/>
      <c r="L157" s="690">
        <v>0</v>
      </c>
      <c r="M157" s="691">
        <v>0</v>
      </c>
      <c r="N157" s="691">
        <v>0</v>
      </c>
      <c r="O157" s="691">
        <v>0</v>
      </c>
      <c r="P157" s="691">
        <v>56</v>
      </c>
      <c r="Q157" s="691">
        <v>55</v>
      </c>
      <c r="R157" s="691">
        <v>55</v>
      </c>
      <c r="S157" s="691">
        <v>55</v>
      </c>
      <c r="T157" s="691">
        <v>55</v>
      </c>
      <c r="U157" s="691">
        <v>55</v>
      </c>
      <c r="V157" s="691">
        <v>55</v>
      </c>
      <c r="W157" s="691">
        <v>55</v>
      </c>
      <c r="X157" s="691">
        <v>55</v>
      </c>
      <c r="Y157" s="691">
        <v>55</v>
      </c>
      <c r="Z157" s="691">
        <v>48</v>
      </c>
      <c r="AA157" s="691">
        <v>48</v>
      </c>
      <c r="AB157" s="691">
        <v>48</v>
      </c>
      <c r="AC157" s="691">
        <v>48</v>
      </c>
      <c r="AD157" s="691">
        <v>48</v>
      </c>
      <c r="AE157" s="691">
        <v>48</v>
      </c>
      <c r="AF157" s="691">
        <v>18</v>
      </c>
      <c r="AG157" s="691">
        <v>18</v>
      </c>
      <c r="AH157" s="691">
        <v>18</v>
      </c>
      <c r="AI157" s="691">
        <v>18</v>
      </c>
      <c r="AJ157" s="691">
        <v>0</v>
      </c>
      <c r="AK157" s="691">
        <v>0</v>
      </c>
      <c r="AL157" s="691">
        <v>0</v>
      </c>
      <c r="AM157" s="691">
        <v>0</v>
      </c>
      <c r="AN157" s="691">
        <v>0</v>
      </c>
      <c r="AO157" s="692">
        <v>0</v>
      </c>
      <c r="AP157" s="628"/>
      <c r="AQ157" s="690">
        <v>0</v>
      </c>
      <c r="AR157" s="691">
        <v>0</v>
      </c>
      <c r="AS157" s="691">
        <v>0</v>
      </c>
      <c r="AT157" s="691">
        <v>0</v>
      </c>
      <c r="AU157" s="691">
        <v>850456</v>
      </c>
      <c r="AV157" s="691">
        <v>842572</v>
      </c>
      <c r="AW157" s="691">
        <v>842572</v>
      </c>
      <c r="AX157" s="691">
        <v>842572</v>
      </c>
      <c r="AY157" s="691">
        <v>842572</v>
      </c>
      <c r="AZ157" s="691">
        <v>842572</v>
      </c>
      <c r="BA157" s="691">
        <v>842572</v>
      </c>
      <c r="BB157" s="691">
        <v>842397</v>
      </c>
      <c r="BC157" s="691">
        <v>842397</v>
      </c>
      <c r="BD157" s="691">
        <v>842397</v>
      </c>
      <c r="BE157" s="691">
        <v>776151</v>
      </c>
      <c r="BF157" s="691">
        <v>773446</v>
      </c>
      <c r="BG157" s="691">
        <v>773446</v>
      </c>
      <c r="BH157" s="691">
        <v>770878</v>
      </c>
      <c r="BI157" s="691">
        <v>770878</v>
      </c>
      <c r="BJ157" s="691">
        <v>770559</v>
      </c>
      <c r="BK157" s="691">
        <v>285596</v>
      </c>
      <c r="BL157" s="691">
        <v>285596</v>
      </c>
      <c r="BM157" s="691">
        <v>285596</v>
      </c>
      <c r="BN157" s="691">
        <v>285596</v>
      </c>
      <c r="BO157" s="691">
        <v>0</v>
      </c>
      <c r="BP157" s="691">
        <v>0</v>
      </c>
      <c r="BQ157" s="691">
        <v>0</v>
      </c>
      <c r="BR157" s="691">
        <v>0</v>
      </c>
      <c r="BS157" s="691">
        <v>0</v>
      </c>
      <c r="BT157" s="692">
        <v>0</v>
      </c>
    </row>
    <row r="158" spans="2:72" hidden="1" outlineLevel="1">
      <c r="B158" s="752"/>
      <c r="C158" s="752"/>
      <c r="D158" s="752" t="s">
        <v>96</v>
      </c>
      <c r="E158" s="752"/>
      <c r="F158" s="752"/>
      <c r="G158" s="752"/>
      <c r="H158" s="889">
        <v>2015</v>
      </c>
      <c r="I158" s="639" t="s">
        <v>571</v>
      </c>
      <c r="J158" s="639" t="s">
        <v>585</v>
      </c>
      <c r="K158" s="628"/>
      <c r="L158" s="690">
        <v>0</v>
      </c>
      <c r="M158" s="691">
        <v>0</v>
      </c>
      <c r="N158" s="691">
        <v>0</v>
      </c>
      <c r="O158" s="691">
        <v>0</v>
      </c>
      <c r="P158" s="691">
        <v>102</v>
      </c>
      <c r="Q158" s="691">
        <v>100</v>
      </c>
      <c r="R158" s="691">
        <v>100</v>
      </c>
      <c r="S158" s="691">
        <v>100</v>
      </c>
      <c r="T158" s="691">
        <v>100</v>
      </c>
      <c r="U158" s="691">
        <v>100</v>
      </c>
      <c r="V158" s="691">
        <v>100</v>
      </c>
      <c r="W158" s="691">
        <v>100</v>
      </c>
      <c r="X158" s="691">
        <v>100</v>
      </c>
      <c r="Y158" s="691">
        <v>100</v>
      </c>
      <c r="Z158" s="691">
        <v>84</v>
      </c>
      <c r="AA158" s="691">
        <v>80</v>
      </c>
      <c r="AB158" s="691">
        <v>80</v>
      </c>
      <c r="AC158" s="691">
        <v>79</v>
      </c>
      <c r="AD158" s="691">
        <v>79</v>
      </c>
      <c r="AE158" s="691">
        <v>79</v>
      </c>
      <c r="AF158" s="691">
        <v>29</v>
      </c>
      <c r="AG158" s="691">
        <v>29</v>
      </c>
      <c r="AH158" s="691">
        <v>29</v>
      </c>
      <c r="AI158" s="691">
        <v>29</v>
      </c>
      <c r="AJ158" s="691">
        <v>0</v>
      </c>
      <c r="AK158" s="691">
        <v>0</v>
      </c>
      <c r="AL158" s="691">
        <v>0</v>
      </c>
      <c r="AM158" s="691">
        <v>0</v>
      </c>
      <c r="AN158" s="691">
        <v>0</v>
      </c>
      <c r="AO158" s="692">
        <v>0</v>
      </c>
      <c r="AP158" s="628"/>
      <c r="AQ158" s="690">
        <v>0</v>
      </c>
      <c r="AR158" s="691">
        <v>0</v>
      </c>
      <c r="AS158" s="691">
        <v>0</v>
      </c>
      <c r="AT158" s="691">
        <v>0</v>
      </c>
      <c r="AU158" s="691">
        <v>1505067</v>
      </c>
      <c r="AV158" s="691">
        <v>1478319</v>
      </c>
      <c r="AW158" s="691">
        <v>1478319</v>
      </c>
      <c r="AX158" s="691">
        <v>1478319</v>
      </c>
      <c r="AY158" s="691">
        <v>1478319</v>
      </c>
      <c r="AZ158" s="691">
        <v>1478319</v>
      </c>
      <c r="BA158" s="691">
        <v>1478319</v>
      </c>
      <c r="BB158" s="691">
        <v>1477545</v>
      </c>
      <c r="BC158" s="691">
        <v>1477545</v>
      </c>
      <c r="BD158" s="691">
        <v>1477545</v>
      </c>
      <c r="BE158" s="691">
        <v>1362508</v>
      </c>
      <c r="BF158" s="691">
        <v>1292353</v>
      </c>
      <c r="BG158" s="691">
        <v>1292353</v>
      </c>
      <c r="BH158" s="691">
        <v>1264556</v>
      </c>
      <c r="BI158" s="691">
        <v>1264556</v>
      </c>
      <c r="BJ158" s="691">
        <v>1261607</v>
      </c>
      <c r="BK158" s="691">
        <v>467379</v>
      </c>
      <c r="BL158" s="691">
        <v>467379</v>
      </c>
      <c r="BM158" s="691">
        <v>467379</v>
      </c>
      <c r="BN158" s="691">
        <v>467379</v>
      </c>
      <c r="BO158" s="691">
        <v>0</v>
      </c>
      <c r="BP158" s="691">
        <v>0</v>
      </c>
      <c r="BQ158" s="691">
        <v>0</v>
      </c>
      <c r="BR158" s="691">
        <v>0</v>
      </c>
      <c r="BS158" s="691">
        <v>0</v>
      </c>
      <c r="BT158" s="692">
        <v>0</v>
      </c>
    </row>
    <row r="159" spans="2:72" hidden="1" outlineLevel="1">
      <c r="B159" s="752"/>
      <c r="C159" s="752"/>
      <c r="D159" s="752" t="s">
        <v>97</v>
      </c>
      <c r="E159" s="752"/>
      <c r="F159" s="752"/>
      <c r="G159" s="752"/>
      <c r="H159" s="889">
        <v>2015</v>
      </c>
      <c r="I159" s="639" t="s">
        <v>571</v>
      </c>
      <c r="J159" s="639" t="s">
        <v>585</v>
      </c>
      <c r="K159" s="628"/>
      <c r="L159" s="690">
        <v>0</v>
      </c>
      <c r="M159" s="691">
        <v>0</v>
      </c>
      <c r="N159" s="691">
        <v>0</v>
      </c>
      <c r="O159" s="691">
        <v>0</v>
      </c>
      <c r="P159" s="691">
        <v>4</v>
      </c>
      <c r="Q159" s="691">
        <v>4</v>
      </c>
      <c r="R159" s="691">
        <v>4</v>
      </c>
      <c r="S159" s="691">
        <v>3</v>
      </c>
      <c r="T159" s="691">
        <v>2</v>
      </c>
      <c r="U159" s="691">
        <v>0</v>
      </c>
      <c r="V159" s="691">
        <v>0</v>
      </c>
      <c r="W159" s="691">
        <v>0</v>
      </c>
      <c r="X159" s="691">
        <v>0</v>
      </c>
      <c r="Y159" s="691">
        <v>0</v>
      </c>
      <c r="Z159" s="691">
        <v>0</v>
      </c>
      <c r="AA159" s="691">
        <v>0</v>
      </c>
      <c r="AB159" s="691">
        <v>0</v>
      </c>
      <c r="AC159" s="691">
        <v>0</v>
      </c>
      <c r="AD159" s="691">
        <v>0</v>
      </c>
      <c r="AE159" s="691">
        <v>0</v>
      </c>
      <c r="AF159" s="691">
        <v>0</v>
      </c>
      <c r="AG159" s="691">
        <v>0</v>
      </c>
      <c r="AH159" s="691">
        <v>0</v>
      </c>
      <c r="AI159" s="691">
        <v>0</v>
      </c>
      <c r="AJ159" s="691">
        <v>0</v>
      </c>
      <c r="AK159" s="691">
        <v>0</v>
      </c>
      <c r="AL159" s="691">
        <v>0</v>
      </c>
      <c r="AM159" s="691">
        <v>0</v>
      </c>
      <c r="AN159" s="691">
        <v>0</v>
      </c>
      <c r="AO159" s="692">
        <v>0</v>
      </c>
      <c r="AP159" s="628"/>
      <c r="AQ159" s="690">
        <v>0</v>
      </c>
      <c r="AR159" s="691">
        <v>0</v>
      </c>
      <c r="AS159" s="691">
        <v>0</v>
      </c>
      <c r="AT159" s="691">
        <v>0</v>
      </c>
      <c r="AU159" s="691">
        <v>23118</v>
      </c>
      <c r="AV159" s="691">
        <v>23118</v>
      </c>
      <c r="AW159" s="691">
        <v>23118</v>
      </c>
      <c r="AX159" s="691">
        <v>23014</v>
      </c>
      <c r="AY159" s="691">
        <v>10988</v>
      </c>
      <c r="AZ159" s="691">
        <v>0</v>
      </c>
      <c r="BA159" s="691">
        <v>0</v>
      </c>
      <c r="BB159" s="691">
        <v>0</v>
      </c>
      <c r="BC159" s="691">
        <v>0</v>
      </c>
      <c r="BD159" s="691">
        <v>0</v>
      </c>
      <c r="BE159" s="691">
        <v>0</v>
      </c>
      <c r="BF159" s="691">
        <v>0</v>
      </c>
      <c r="BG159" s="691">
        <v>0</v>
      </c>
      <c r="BH159" s="691">
        <v>0</v>
      </c>
      <c r="BI159" s="691">
        <v>0</v>
      </c>
      <c r="BJ159" s="691">
        <v>0</v>
      </c>
      <c r="BK159" s="691">
        <v>0</v>
      </c>
      <c r="BL159" s="691">
        <v>0</v>
      </c>
      <c r="BM159" s="691">
        <v>0</v>
      </c>
      <c r="BN159" s="691">
        <v>0</v>
      </c>
      <c r="BO159" s="691">
        <v>0</v>
      </c>
      <c r="BP159" s="691">
        <v>0</v>
      </c>
      <c r="BQ159" s="691">
        <v>0</v>
      </c>
      <c r="BR159" s="691">
        <v>0</v>
      </c>
      <c r="BS159" s="691">
        <v>0</v>
      </c>
      <c r="BT159" s="692">
        <v>0</v>
      </c>
    </row>
    <row r="160" spans="2:72" hidden="1" outlineLevel="1">
      <c r="B160" s="752"/>
      <c r="C160" s="752"/>
      <c r="D160" s="752" t="s">
        <v>672</v>
      </c>
      <c r="E160" s="752"/>
      <c r="F160" s="752"/>
      <c r="G160" s="752"/>
      <c r="H160" s="889">
        <v>2015</v>
      </c>
      <c r="I160" s="639" t="s">
        <v>571</v>
      </c>
      <c r="J160" s="639" t="s">
        <v>585</v>
      </c>
      <c r="K160" s="628"/>
      <c r="L160" s="690">
        <v>0</v>
      </c>
      <c r="M160" s="691">
        <v>0</v>
      </c>
      <c r="N160" s="691">
        <v>0</v>
      </c>
      <c r="O160" s="691">
        <v>0</v>
      </c>
      <c r="P160" s="691">
        <v>596</v>
      </c>
      <c r="Q160" s="691">
        <v>596</v>
      </c>
      <c r="R160" s="691">
        <v>596</v>
      </c>
      <c r="S160" s="691">
        <v>596</v>
      </c>
      <c r="T160" s="691">
        <v>596</v>
      </c>
      <c r="U160" s="691">
        <v>596</v>
      </c>
      <c r="V160" s="691">
        <v>596</v>
      </c>
      <c r="W160" s="691">
        <v>596</v>
      </c>
      <c r="X160" s="691">
        <v>596</v>
      </c>
      <c r="Y160" s="691">
        <v>596</v>
      </c>
      <c r="Z160" s="691">
        <v>596</v>
      </c>
      <c r="AA160" s="691">
        <v>596</v>
      </c>
      <c r="AB160" s="691">
        <v>596</v>
      </c>
      <c r="AC160" s="691">
        <v>596</v>
      </c>
      <c r="AD160" s="691">
        <v>596</v>
      </c>
      <c r="AE160" s="691">
        <v>596</v>
      </c>
      <c r="AF160" s="691">
        <v>596</v>
      </c>
      <c r="AG160" s="691">
        <v>596</v>
      </c>
      <c r="AH160" s="691">
        <v>540</v>
      </c>
      <c r="AI160" s="691">
        <v>0</v>
      </c>
      <c r="AJ160" s="691">
        <v>0</v>
      </c>
      <c r="AK160" s="691">
        <v>0</v>
      </c>
      <c r="AL160" s="691">
        <v>0</v>
      </c>
      <c r="AM160" s="691">
        <v>0</v>
      </c>
      <c r="AN160" s="691">
        <v>0</v>
      </c>
      <c r="AO160" s="692">
        <v>0</v>
      </c>
      <c r="AP160" s="628"/>
      <c r="AQ160" s="690">
        <v>0</v>
      </c>
      <c r="AR160" s="691">
        <v>0</v>
      </c>
      <c r="AS160" s="691">
        <v>0</v>
      </c>
      <c r="AT160" s="691">
        <v>0</v>
      </c>
      <c r="AU160" s="691">
        <v>1135517</v>
      </c>
      <c r="AV160" s="691">
        <v>1135517</v>
      </c>
      <c r="AW160" s="691">
        <v>1135517</v>
      </c>
      <c r="AX160" s="691">
        <v>1135517</v>
      </c>
      <c r="AY160" s="691">
        <v>1135517</v>
      </c>
      <c r="AZ160" s="691">
        <v>1135517</v>
      </c>
      <c r="BA160" s="691">
        <v>1135517</v>
      </c>
      <c r="BB160" s="691">
        <v>1135517</v>
      </c>
      <c r="BC160" s="691">
        <v>1135517</v>
      </c>
      <c r="BD160" s="691">
        <v>1135517</v>
      </c>
      <c r="BE160" s="691">
        <v>1135517</v>
      </c>
      <c r="BF160" s="691">
        <v>1135517</v>
      </c>
      <c r="BG160" s="691">
        <v>1135517</v>
      </c>
      <c r="BH160" s="691">
        <v>1135517</v>
      </c>
      <c r="BI160" s="691">
        <v>1135517</v>
      </c>
      <c r="BJ160" s="691">
        <v>1135517</v>
      </c>
      <c r="BK160" s="691">
        <v>1135517</v>
      </c>
      <c r="BL160" s="691">
        <v>1135517</v>
      </c>
      <c r="BM160" s="691">
        <v>1085648</v>
      </c>
      <c r="BN160" s="691">
        <v>0</v>
      </c>
      <c r="BO160" s="691">
        <v>0</v>
      </c>
      <c r="BP160" s="691">
        <v>0</v>
      </c>
      <c r="BQ160" s="691">
        <v>0</v>
      </c>
      <c r="BR160" s="691">
        <v>0</v>
      </c>
      <c r="BS160" s="691">
        <v>0</v>
      </c>
      <c r="BT160" s="692">
        <v>0</v>
      </c>
    </row>
    <row r="161" spans="2:72" hidden="1" outlineLevel="1">
      <c r="B161" s="752"/>
      <c r="C161" s="752"/>
      <c r="D161" s="752" t="s">
        <v>98</v>
      </c>
      <c r="E161" s="752"/>
      <c r="F161" s="752"/>
      <c r="G161" s="752"/>
      <c r="H161" s="889">
        <v>2015</v>
      </c>
      <c r="I161" s="639" t="s">
        <v>571</v>
      </c>
      <c r="J161" s="639" t="s">
        <v>585</v>
      </c>
      <c r="K161" s="628"/>
      <c r="L161" s="690">
        <v>0</v>
      </c>
      <c r="M161" s="691">
        <v>0</v>
      </c>
      <c r="N161" s="691">
        <v>0</v>
      </c>
      <c r="O161" s="691">
        <v>0</v>
      </c>
      <c r="P161" s="691">
        <v>72</v>
      </c>
      <c r="Q161" s="691">
        <v>72</v>
      </c>
      <c r="R161" s="691">
        <v>72</v>
      </c>
      <c r="S161" s="691">
        <v>72</v>
      </c>
      <c r="T161" s="691">
        <v>72</v>
      </c>
      <c r="U161" s="691">
        <v>72</v>
      </c>
      <c r="V161" s="691">
        <v>72</v>
      </c>
      <c r="W161" s="691">
        <v>72</v>
      </c>
      <c r="X161" s="691">
        <v>72</v>
      </c>
      <c r="Y161" s="691">
        <v>72</v>
      </c>
      <c r="Z161" s="691">
        <v>71</v>
      </c>
      <c r="AA161" s="691">
        <v>71</v>
      </c>
      <c r="AB161" s="691">
        <v>71</v>
      </c>
      <c r="AC161" s="691">
        <v>71</v>
      </c>
      <c r="AD161" s="691">
        <v>71</v>
      </c>
      <c r="AE161" s="691">
        <v>71</v>
      </c>
      <c r="AF161" s="691">
        <v>71</v>
      </c>
      <c r="AG161" s="691">
        <v>71</v>
      </c>
      <c r="AH161" s="691">
        <v>71</v>
      </c>
      <c r="AI161" s="691">
        <v>71</v>
      </c>
      <c r="AJ161" s="691">
        <v>55</v>
      </c>
      <c r="AK161" s="691">
        <v>55</v>
      </c>
      <c r="AL161" s="691">
        <v>55</v>
      </c>
      <c r="AM161" s="691">
        <v>0</v>
      </c>
      <c r="AN161" s="691">
        <v>0</v>
      </c>
      <c r="AO161" s="692">
        <v>0</v>
      </c>
      <c r="AP161" s="628"/>
      <c r="AQ161" s="690">
        <v>0</v>
      </c>
      <c r="AR161" s="691">
        <v>0</v>
      </c>
      <c r="AS161" s="691">
        <v>0</v>
      </c>
      <c r="AT161" s="691">
        <v>0</v>
      </c>
      <c r="AU161" s="691">
        <v>388014</v>
      </c>
      <c r="AV161" s="691">
        <v>388014</v>
      </c>
      <c r="AW161" s="691">
        <v>388014</v>
      </c>
      <c r="AX161" s="691">
        <v>388014</v>
      </c>
      <c r="AY161" s="691">
        <v>388014</v>
      </c>
      <c r="AZ161" s="691">
        <v>388014</v>
      </c>
      <c r="BA161" s="691">
        <v>388014</v>
      </c>
      <c r="BB161" s="691">
        <v>388014</v>
      </c>
      <c r="BC161" s="691">
        <v>388014</v>
      </c>
      <c r="BD161" s="691">
        <v>388014</v>
      </c>
      <c r="BE161" s="691">
        <v>385843</v>
      </c>
      <c r="BF161" s="691">
        <v>385843</v>
      </c>
      <c r="BG161" s="691">
        <v>385843</v>
      </c>
      <c r="BH161" s="691">
        <v>385843</v>
      </c>
      <c r="BI161" s="691">
        <v>385843</v>
      </c>
      <c r="BJ161" s="691">
        <v>385843</v>
      </c>
      <c r="BK161" s="691">
        <v>385843</v>
      </c>
      <c r="BL161" s="691">
        <v>385843</v>
      </c>
      <c r="BM161" s="691">
        <v>385843</v>
      </c>
      <c r="BN161" s="691">
        <v>385843</v>
      </c>
      <c r="BO161" s="691">
        <v>134528</v>
      </c>
      <c r="BP161" s="691">
        <v>134528</v>
      </c>
      <c r="BQ161" s="691">
        <v>134528</v>
      </c>
      <c r="BR161" s="691">
        <v>0</v>
      </c>
      <c r="BS161" s="691">
        <v>0</v>
      </c>
      <c r="BT161" s="692">
        <v>0</v>
      </c>
    </row>
    <row r="162" spans="2:72" hidden="1" outlineLevel="1">
      <c r="B162" s="752"/>
      <c r="C162" s="752"/>
      <c r="D162" s="752" t="s">
        <v>99</v>
      </c>
      <c r="E162" s="752"/>
      <c r="F162" s="752"/>
      <c r="G162" s="752"/>
      <c r="H162" s="889">
        <v>2015</v>
      </c>
      <c r="I162" s="639" t="s">
        <v>571</v>
      </c>
      <c r="J162" s="639" t="s">
        <v>585</v>
      </c>
      <c r="K162" s="628"/>
      <c r="L162" s="690">
        <v>0</v>
      </c>
      <c r="M162" s="691">
        <v>0</v>
      </c>
      <c r="N162" s="691">
        <v>0</v>
      </c>
      <c r="O162" s="691">
        <v>0</v>
      </c>
      <c r="P162" s="691">
        <v>0</v>
      </c>
      <c r="Q162" s="691">
        <v>0</v>
      </c>
      <c r="R162" s="691">
        <v>0</v>
      </c>
      <c r="S162" s="691">
        <v>0</v>
      </c>
      <c r="T162" s="691">
        <v>0</v>
      </c>
      <c r="U162" s="691">
        <v>0</v>
      </c>
      <c r="V162" s="691">
        <v>0</v>
      </c>
      <c r="W162" s="691">
        <v>0</v>
      </c>
      <c r="X162" s="691">
        <v>0</v>
      </c>
      <c r="Y162" s="691">
        <v>0</v>
      </c>
      <c r="Z162" s="691">
        <v>0</v>
      </c>
      <c r="AA162" s="691">
        <v>0</v>
      </c>
      <c r="AB162" s="691">
        <v>0</v>
      </c>
      <c r="AC162" s="691">
        <v>0</v>
      </c>
      <c r="AD162" s="691">
        <v>0</v>
      </c>
      <c r="AE162" s="691">
        <v>0</v>
      </c>
      <c r="AF162" s="691">
        <v>0</v>
      </c>
      <c r="AG162" s="691">
        <v>0</v>
      </c>
      <c r="AH162" s="691">
        <v>0</v>
      </c>
      <c r="AI162" s="691">
        <v>0</v>
      </c>
      <c r="AJ162" s="691">
        <v>0</v>
      </c>
      <c r="AK162" s="691">
        <v>0</v>
      </c>
      <c r="AL162" s="691">
        <v>0</v>
      </c>
      <c r="AM162" s="691">
        <v>0</v>
      </c>
      <c r="AN162" s="691">
        <v>0</v>
      </c>
      <c r="AO162" s="692">
        <v>0</v>
      </c>
      <c r="AP162" s="628"/>
      <c r="AQ162" s="690">
        <v>0</v>
      </c>
      <c r="AR162" s="691">
        <v>0</v>
      </c>
      <c r="AS162" s="691">
        <v>0</v>
      </c>
      <c r="AT162" s="691">
        <v>0</v>
      </c>
      <c r="AU162" s="691">
        <v>0</v>
      </c>
      <c r="AV162" s="691">
        <v>0</v>
      </c>
      <c r="AW162" s="691">
        <v>0</v>
      </c>
      <c r="AX162" s="691">
        <v>0</v>
      </c>
      <c r="AY162" s="691">
        <v>0</v>
      </c>
      <c r="AZ162" s="691">
        <v>0</v>
      </c>
      <c r="BA162" s="691">
        <v>0</v>
      </c>
      <c r="BB162" s="691">
        <v>0</v>
      </c>
      <c r="BC162" s="691">
        <v>0</v>
      </c>
      <c r="BD162" s="691">
        <v>0</v>
      </c>
      <c r="BE162" s="691">
        <v>0</v>
      </c>
      <c r="BF162" s="691">
        <v>0</v>
      </c>
      <c r="BG162" s="691">
        <v>0</v>
      </c>
      <c r="BH162" s="691">
        <v>0</v>
      </c>
      <c r="BI162" s="691">
        <v>0</v>
      </c>
      <c r="BJ162" s="691">
        <v>0</v>
      </c>
      <c r="BK162" s="691">
        <v>0</v>
      </c>
      <c r="BL162" s="691">
        <v>0</v>
      </c>
      <c r="BM162" s="691">
        <v>0</v>
      </c>
      <c r="BN162" s="691">
        <v>0</v>
      </c>
      <c r="BO162" s="691">
        <v>0</v>
      </c>
      <c r="BP162" s="691">
        <v>0</v>
      </c>
      <c r="BQ162" s="691">
        <v>0</v>
      </c>
      <c r="BR162" s="691">
        <v>0</v>
      </c>
      <c r="BS162" s="691">
        <v>0</v>
      </c>
      <c r="BT162" s="692">
        <v>0</v>
      </c>
    </row>
    <row r="163" spans="2:72" hidden="1" outlineLevel="1">
      <c r="B163" s="752"/>
      <c r="C163" s="752"/>
      <c r="D163" s="752" t="s">
        <v>100</v>
      </c>
      <c r="E163" s="752"/>
      <c r="F163" s="752"/>
      <c r="G163" s="752"/>
      <c r="H163" s="889">
        <v>2015</v>
      </c>
      <c r="I163" s="639" t="s">
        <v>571</v>
      </c>
      <c r="J163" s="639" t="s">
        <v>585</v>
      </c>
      <c r="K163" s="628"/>
      <c r="L163" s="690">
        <v>0</v>
      </c>
      <c r="M163" s="691">
        <v>0</v>
      </c>
      <c r="N163" s="691">
        <v>0</v>
      </c>
      <c r="O163" s="691">
        <v>0</v>
      </c>
      <c r="P163" s="691">
        <v>2734</v>
      </c>
      <c r="Q163" s="691">
        <v>2734</v>
      </c>
      <c r="R163" s="691">
        <v>2714</v>
      </c>
      <c r="S163" s="691">
        <v>2709</v>
      </c>
      <c r="T163" s="691">
        <v>2709</v>
      </c>
      <c r="U163" s="691">
        <v>2709</v>
      </c>
      <c r="V163" s="691">
        <v>2617</v>
      </c>
      <c r="W163" s="691">
        <v>2617</v>
      </c>
      <c r="X163" s="691">
        <v>2531</v>
      </c>
      <c r="Y163" s="691">
        <v>2231</v>
      </c>
      <c r="Z163" s="691">
        <v>1412</v>
      </c>
      <c r="AA163" s="691">
        <v>1344</v>
      </c>
      <c r="AB163" s="691">
        <v>1222</v>
      </c>
      <c r="AC163" s="691">
        <v>1184</v>
      </c>
      <c r="AD163" s="691">
        <v>1184</v>
      </c>
      <c r="AE163" s="691">
        <v>899</v>
      </c>
      <c r="AF163" s="691">
        <v>332</v>
      </c>
      <c r="AG163" s="691">
        <v>332</v>
      </c>
      <c r="AH163" s="691">
        <v>332</v>
      </c>
      <c r="AI163" s="691">
        <v>332</v>
      </c>
      <c r="AJ163" s="691">
        <v>0</v>
      </c>
      <c r="AK163" s="691">
        <v>0</v>
      </c>
      <c r="AL163" s="691">
        <v>0</v>
      </c>
      <c r="AM163" s="691">
        <v>0</v>
      </c>
      <c r="AN163" s="691">
        <v>0</v>
      </c>
      <c r="AO163" s="692">
        <v>0</v>
      </c>
      <c r="AP163" s="628"/>
      <c r="AQ163" s="690">
        <v>0</v>
      </c>
      <c r="AR163" s="691">
        <v>0</v>
      </c>
      <c r="AS163" s="691">
        <v>0</v>
      </c>
      <c r="AT163" s="691">
        <v>0</v>
      </c>
      <c r="AU163" s="691">
        <v>16475231</v>
      </c>
      <c r="AV163" s="691">
        <v>16475231</v>
      </c>
      <c r="AW163" s="691">
        <v>16411608</v>
      </c>
      <c r="AX163" s="691">
        <v>16394148</v>
      </c>
      <c r="AY163" s="691">
        <v>16394148</v>
      </c>
      <c r="AZ163" s="691">
        <v>16393329</v>
      </c>
      <c r="BA163" s="691">
        <v>15764945</v>
      </c>
      <c r="BB163" s="691">
        <v>15764945</v>
      </c>
      <c r="BC163" s="691">
        <v>15410834</v>
      </c>
      <c r="BD163" s="691">
        <v>13288474</v>
      </c>
      <c r="BE163" s="691">
        <v>7591035</v>
      </c>
      <c r="BF163" s="691">
        <v>7074150</v>
      </c>
      <c r="BG163" s="691">
        <v>5483369</v>
      </c>
      <c r="BH163" s="691">
        <v>5362828</v>
      </c>
      <c r="BI163" s="691">
        <v>5362828</v>
      </c>
      <c r="BJ163" s="691">
        <v>3920252</v>
      </c>
      <c r="BK163" s="691">
        <v>900678</v>
      </c>
      <c r="BL163" s="691">
        <v>900678</v>
      </c>
      <c r="BM163" s="691">
        <v>900678</v>
      </c>
      <c r="BN163" s="691">
        <v>900678</v>
      </c>
      <c r="BO163" s="691">
        <v>0</v>
      </c>
      <c r="BP163" s="691">
        <v>0</v>
      </c>
      <c r="BQ163" s="691">
        <v>0</v>
      </c>
      <c r="BR163" s="691">
        <v>0</v>
      </c>
      <c r="BS163" s="691">
        <v>0</v>
      </c>
      <c r="BT163" s="692">
        <v>0</v>
      </c>
    </row>
    <row r="164" spans="2:72" hidden="1" outlineLevel="1">
      <c r="B164" s="752"/>
      <c r="C164" s="752"/>
      <c r="D164" s="752" t="s">
        <v>101</v>
      </c>
      <c r="E164" s="752"/>
      <c r="F164" s="752"/>
      <c r="G164" s="752"/>
      <c r="H164" s="889">
        <v>2015</v>
      </c>
      <c r="I164" s="639" t="s">
        <v>571</v>
      </c>
      <c r="J164" s="639" t="s">
        <v>585</v>
      </c>
      <c r="K164" s="628"/>
      <c r="L164" s="690">
        <v>0</v>
      </c>
      <c r="M164" s="691">
        <v>0</v>
      </c>
      <c r="N164" s="691">
        <v>0</v>
      </c>
      <c r="O164" s="691">
        <v>0</v>
      </c>
      <c r="P164" s="691">
        <v>101</v>
      </c>
      <c r="Q164" s="691">
        <v>95</v>
      </c>
      <c r="R164" s="691">
        <v>59</v>
      </c>
      <c r="S164" s="691">
        <v>59</v>
      </c>
      <c r="T164" s="691">
        <v>59</v>
      </c>
      <c r="U164" s="691">
        <v>59</v>
      </c>
      <c r="V164" s="691">
        <v>59</v>
      </c>
      <c r="W164" s="691">
        <v>59</v>
      </c>
      <c r="X164" s="691">
        <v>59</v>
      </c>
      <c r="Y164" s="691">
        <v>59</v>
      </c>
      <c r="Z164" s="691">
        <v>58</v>
      </c>
      <c r="AA164" s="691">
        <v>25</v>
      </c>
      <c r="AB164" s="691">
        <v>0</v>
      </c>
      <c r="AC164" s="691">
        <v>0</v>
      </c>
      <c r="AD164" s="691">
        <v>0</v>
      </c>
      <c r="AE164" s="691">
        <v>0</v>
      </c>
      <c r="AF164" s="691">
        <v>0</v>
      </c>
      <c r="AG164" s="691">
        <v>0</v>
      </c>
      <c r="AH164" s="691">
        <v>0</v>
      </c>
      <c r="AI164" s="691">
        <v>0</v>
      </c>
      <c r="AJ164" s="691">
        <v>0</v>
      </c>
      <c r="AK164" s="691">
        <v>0</v>
      </c>
      <c r="AL164" s="691">
        <v>0</v>
      </c>
      <c r="AM164" s="691">
        <v>0</v>
      </c>
      <c r="AN164" s="691">
        <v>0</v>
      </c>
      <c r="AO164" s="692">
        <v>0</v>
      </c>
      <c r="AP164" s="628"/>
      <c r="AQ164" s="690">
        <v>0</v>
      </c>
      <c r="AR164" s="691">
        <v>0</v>
      </c>
      <c r="AS164" s="691">
        <v>0</v>
      </c>
      <c r="AT164" s="691">
        <v>0</v>
      </c>
      <c r="AU164" s="691">
        <v>417284</v>
      </c>
      <c r="AV164" s="691">
        <v>387869</v>
      </c>
      <c r="AW164" s="691">
        <v>253424</v>
      </c>
      <c r="AX164" s="691">
        <v>253424</v>
      </c>
      <c r="AY164" s="691">
        <v>253424</v>
      </c>
      <c r="AZ164" s="691">
        <v>253424</v>
      </c>
      <c r="BA164" s="691">
        <v>253424</v>
      </c>
      <c r="BB164" s="691">
        <v>253424</v>
      </c>
      <c r="BC164" s="691">
        <v>253424</v>
      </c>
      <c r="BD164" s="691">
        <v>253424</v>
      </c>
      <c r="BE164" s="691">
        <v>240004</v>
      </c>
      <c r="BF164" s="691">
        <v>97206</v>
      </c>
      <c r="BG164" s="691">
        <v>0</v>
      </c>
      <c r="BH164" s="691">
        <v>0</v>
      </c>
      <c r="BI164" s="691">
        <v>0</v>
      </c>
      <c r="BJ164" s="691">
        <v>0</v>
      </c>
      <c r="BK164" s="691">
        <v>0</v>
      </c>
      <c r="BL164" s="691">
        <v>0</v>
      </c>
      <c r="BM164" s="691">
        <v>0</v>
      </c>
      <c r="BN164" s="691">
        <v>0</v>
      </c>
      <c r="BO164" s="691">
        <v>0</v>
      </c>
      <c r="BP164" s="691">
        <v>0</v>
      </c>
      <c r="BQ164" s="691">
        <v>0</v>
      </c>
      <c r="BR164" s="691">
        <v>0</v>
      </c>
      <c r="BS164" s="691">
        <v>0</v>
      </c>
      <c r="BT164" s="692">
        <v>0</v>
      </c>
    </row>
    <row r="165" spans="2:72" hidden="1" outlineLevel="1">
      <c r="B165" s="752"/>
      <c r="C165" s="752"/>
      <c r="D165" s="752" t="s">
        <v>102</v>
      </c>
      <c r="E165" s="752"/>
      <c r="F165" s="752"/>
      <c r="G165" s="752"/>
      <c r="H165" s="889">
        <v>2015</v>
      </c>
      <c r="I165" s="639" t="s">
        <v>571</v>
      </c>
      <c r="J165" s="639" t="s">
        <v>585</v>
      </c>
      <c r="K165" s="628"/>
      <c r="L165" s="690">
        <v>0</v>
      </c>
      <c r="M165" s="691">
        <v>0</v>
      </c>
      <c r="N165" s="691">
        <v>0</v>
      </c>
      <c r="O165" s="691">
        <v>0</v>
      </c>
      <c r="P165" s="691">
        <v>70</v>
      </c>
      <c r="Q165" s="691">
        <v>70</v>
      </c>
      <c r="R165" s="691">
        <v>70</v>
      </c>
      <c r="S165" s="691">
        <v>70</v>
      </c>
      <c r="T165" s="691">
        <v>70</v>
      </c>
      <c r="U165" s="691">
        <v>70</v>
      </c>
      <c r="V165" s="691">
        <v>70</v>
      </c>
      <c r="W165" s="691">
        <v>70</v>
      </c>
      <c r="X165" s="691">
        <v>70</v>
      </c>
      <c r="Y165" s="691">
        <v>70</v>
      </c>
      <c r="Z165" s="691">
        <v>70</v>
      </c>
      <c r="AA165" s="691">
        <v>70</v>
      </c>
      <c r="AB165" s="691">
        <v>70</v>
      </c>
      <c r="AC165" s="691">
        <v>70</v>
      </c>
      <c r="AD165" s="691">
        <v>58</v>
      </c>
      <c r="AE165" s="691">
        <v>0</v>
      </c>
      <c r="AF165" s="691">
        <v>0</v>
      </c>
      <c r="AG165" s="691">
        <v>0</v>
      </c>
      <c r="AH165" s="691">
        <v>0</v>
      </c>
      <c r="AI165" s="691">
        <v>0</v>
      </c>
      <c r="AJ165" s="691">
        <v>0</v>
      </c>
      <c r="AK165" s="691">
        <v>0</v>
      </c>
      <c r="AL165" s="691">
        <v>0</v>
      </c>
      <c r="AM165" s="691">
        <v>0</v>
      </c>
      <c r="AN165" s="691">
        <v>0</v>
      </c>
      <c r="AO165" s="692">
        <v>0</v>
      </c>
      <c r="AP165" s="628"/>
      <c r="AQ165" s="690">
        <v>0</v>
      </c>
      <c r="AR165" s="691">
        <v>0</v>
      </c>
      <c r="AS165" s="691">
        <v>0</v>
      </c>
      <c r="AT165" s="691">
        <v>0</v>
      </c>
      <c r="AU165" s="691">
        <v>74739</v>
      </c>
      <c r="AV165" s="691">
        <v>74739</v>
      </c>
      <c r="AW165" s="691">
        <v>74739</v>
      </c>
      <c r="AX165" s="691">
        <v>74739</v>
      </c>
      <c r="AY165" s="691">
        <v>74739</v>
      </c>
      <c r="AZ165" s="691">
        <v>74739</v>
      </c>
      <c r="BA165" s="691">
        <v>74739</v>
      </c>
      <c r="BB165" s="691">
        <v>74739</v>
      </c>
      <c r="BC165" s="691">
        <v>74739</v>
      </c>
      <c r="BD165" s="691">
        <v>74739</v>
      </c>
      <c r="BE165" s="691">
        <v>74739</v>
      </c>
      <c r="BF165" s="691">
        <v>74739</v>
      </c>
      <c r="BG165" s="691">
        <v>74739</v>
      </c>
      <c r="BH165" s="691">
        <v>74739</v>
      </c>
      <c r="BI165" s="691">
        <v>40094</v>
      </c>
      <c r="BJ165" s="691">
        <v>0</v>
      </c>
      <c r="BK165" s="691">
        <v>0</v>
      </c>
      <c r="BL165" s="691">
        <v>0</v>
      </c>
      <c r="BM165" s="691">
        <v>0</v>
      </c>
      <c r="BN165" s="691">
        <v>0</v>
      </c>
      <c r="BO165" s="691">
        <v>0</v>
      </c>
      <c r="BP165" s="691">
        <v>0</v>
      </c>
      <c r="BQ165" s="691">
        <v>0</v>
      </c>
      <c r="BR165" s="691">
        <v>0</v>
      </c>
      <c r="BS165" s="691">
        <v>0</v>
      </c>
      <c r="BT165" s="692">
        <v>0</v>
      </c>
    </row>
    <row r="166" spans="2:72" hidden="1" outlineLevel="1">
      <c r="B166" s="752"/>
      <c r="C166" s="752"/>
      <c r="D166" s="752" t="s">
        <v>103</v>
      </c>
      <c r="E166" s="752"/>
      <c r="F166" s="752"/>
      <c r="G166" s="752"/>
      <c r="H166" s="889">
        <v>2015</v>
      </c>
      <c r="I166" s="639" t="s">
        <v>571</v>
      </c>
      <c r="J166" s="639" t="s">
        <v>585</v>
      </c>
      <c r="K166" s="628"/>
      <c r="L166" s="690">
        <v>0</v>
      </c>
      <c r="M166" s="691">
        <v>0</v>
      </c>
      <c r="N166" s="691">
        <v>0</v>
      </c>
      <c r="O166" s="691">
        <v>0</v>
      </c>
      <c r="P166" s="691">
        <v>0</v>
      </c>
      <c r="Q166" s="691">
        <v>0</v>
      </c>
      <c r="R166" s="691">
        <v>0</v>
      </c>
      <c r="S166" s="691">
        <v>0</v>
      </c>
      <c r="T166" s="691">
        <v>0</v>
      </c>
      <c r="U166" s="691">
        <v>0</v>
      </c>
      <c r="V166" s="691">
        <v>0</v>
      </c>
      <c r="W166" s="691">
        <v>0</v>
      </c>
      <c r="X166" s="691">
        <v>0</v>
      </c>
      <c r="Y166" s="691">
        <v>0</v>
      </c>
      <c r="Z166" s="691">
        <v>0</v>
      </c>
      <c r="AA166" s="691">
        <v>0</v>
      </c>
      <c r="AB166" s="691">
        <v>0</v>
      </c>
      <c r="AC166" s="691">
        <v>0</v>
      </c>
      <c r="AD166" s="691">
        <v>0</v>
      </c>
      <c r="AE166" s="691">
        <v>0</v>
      </c>
      <c r="AF166" s="691">
        <v>0</v>
      </c>
      <c r="AG166" s="691">
        <v>0</v>
      </c>
      <c r="AH166" s="691">
        <v>0</v>
      </c>
      <c r="AI166" s="691">
        <v>0</v>
      </c>
      <c r="AJ166" s="691">
        <v>0</v>
      </c>
      <c r="AK166" s="691">
        <v>0</v>
      </c>
      <c r="AL166" s="691">
        <v>0</v>
      </c>
      <c r="AM166" s="691">
        <v>0</v>
      </c>
      <c r="AN166" s="691">
        <v>0</v>
      </c>
      <c r="AO166" s="692">
        <v>0</v>
      </c>
      <c r="AP166" s="628"/>
      <c r="AQ166" s="690">
        <v>0</v>
      </c>
      <c r="AR166" s="691">
        <v>0</v>
      </c>
      <c r="AS166" s="691">
        <v>0</v>
      </c>
      <c r="AT166" s="691">
        <v>0</v>
      </c>
      <c r="AU166" s="691">
        <v>0</v>
      </c>
      <c r="AV166" s="691">
        <v>0</v>
      </c>
      <c r="AW166" s="691">
        <v>0</v>
      </c>
      <c r="AX166" s="691">
        <v>0</v>
      </c>
      <c r="AY166" s="691">
        <v>0</v>
      </c>
      <c r="AZ166" s="691">
        <v>0</v>
      </c>
      <c r="BA166" s="691">
        <v>0</v>
      </c>
      <c r="BB166" s="691">
        <v>0</v>
      </c>
      <c r="BC166" s="691">
        <v>0</v>
      </c>
      <c r="BD166" s="691">
        <v>0</v>
      </c>
      <c r="BE166" s="691">
        <v>0</v>
      </c>
      <c r="BF166" s="691">
        <v>0</v>
      </c>
      <c r="BG166" s="691">
        <v>0</v>
      </c>
      <c r="BH166" s="691">
        <v>0</v>
      </c>
      <c r="BI166" s="691">
        <v>0</v>
      </c>
      <c r="BJ166" s="691">
        <v>0</v>
      </c>
      <c r="BK166" s="691">
        <v>0</v>
      </c>
      <c r="BL166" s="691">
        <v>0</v>
      </c>
      <c r="BM166" s="691">
        <v>0</v>
      </c>
      <c r="BN166" s="691">
        <v>0</v>
      </c>
      <c r="BO166" s="691">
        <v>0</v>
      </c>
      <c r="BP166" s="691">
        <v>0</v>
      </c>
      <c r="BQ166" s="691">
        <v>0</v>
      </c>
      <c r="BR166" s="691">
        <v>0</v>
      </c>
      <c r="BS166" s="691">
        <v>0</v>
      </c>
      <c r="BT166" s="692">
        <v>0</v>
      </c>
    </row>
    <row r="167" spans="2:72" hidden="1" outlineLevel="1">
      <c r="B167" s="752"/>
      <c r="C167" s="752"/>
      <c r="D167" s="752" t="s">
        <v>104</v>
      </c>
      <c r="E167" s="752"/>
      <c r="F167" s="752"/>
      <c r="G167" s="752"/>
      <c r="H167" s="889">
        <v>2015</v>
      </c>
      <c r="I167" s="639" t="s">
        <v>571</v>
      </c>
      <c r="J167" s="639" t="s">
        <v>585</v>
      </c>
      <c r="K167" s="628"/>
      <c r="L167" s="690">
        <v>0</v>
      </c>
      <c r="M167" s="691">
        <v>0</v>
      </c>
      <c r="N167" s="691">
        <v>0</v>
      </c>
      <c r="O167" s="691">
        <v>0</v>
      </c>
      <c r="P167" s="691">
        <v>0</v>
      </c>
      <c r="Q167" s="691">
        <v>0</v>
      </c>
      <c r="R167" s="691">
        <v>0</v>
      </c>
      <c r="S167" s="691">
        <v>0</v>
      </c>
      <c r="T167" s="691">
        <v>0</v>
      </c>
      <c r="U167" s="691">
        <v>0</v>
      </c>
      <c r="V167" s="691">
        <v>0</v>
      </c>
      <c r="W167" s="691">
        <v>0</v>
      </c>
      <c r="X167" s="691">
        <v>0</v>
      </c>
      <c r="Y167" s="691">
        <v>0</v>
      </c>
      <c r="Z167" s="691">
        <v>0</v>
      </c>
      <c r="AA167" s="691">
        <v>0</v>
      </c>
      <c r="AB167" s="691">
        <v>0</v>
      </c>
      <c r="AC167" s="691">
        <v>0</v>
      </c>
      <c r="AD167" s="691">
        <v>0</v>
      </c>
      <c r="AE167" s="691">
        <v>0</v>
      </c>
      <c r="AF167" s="691">
        <v>0</v>
      </c>
      <c r="AG167" s="691">
        <v>0</v>
      </c>
      <c r="AH167" s="691">
        <v>0</v>
      </c>
      <c r="AI167" s="691">
        <v>0</v>
      </c>
      <c r="AJ167" s="691">
        <v>0</v>
      </c>
      <c r="AK167" s="691">
        <v>0</v>
      </c>
      <c r="AL167" s="691">
        <v>0</v>
      </c>
      <c r="AM167" s="691">
        <v>0</v>
      </c>
      <c r="AN167" s="691">
        <v>0</v>
      </c>
      <c r="AO167" s="692">
        <v>0</v>
      </c>
      <c r="AP167" s="628"/>
      <c r="AQ167" s="690">
        <v>0</v>
      </c>
      <c r="AR167" s="691">
        <v>0</v>
      </c>
      <c r="AS167" s="691">
        <v>0</v>
      </c>
      <c r="AT167" s="691">
        <v>0</v>
      </c>
      <c r="AU167" s="691">
        <v>0</v>
      </c>
      <c r="AV167" s="691">
        <v>0</v>
      </c>
      <c r="AW167" s="691">
        <v>0</v>
      </c>
      <c r="AX167" s="691">
        <v>0</v>
      </c>
      <c r="AY167" s="691">
        <v>0</v>
      </c>
      <c r="AZ167" s="691">
        <v>0</v>
      </c>
      <c r="BA167" s="691">
        <v>0</v>
      </c>
      <c r="BB167" s="691">
        <v>0</v>
      </c>
      <c r="BC167" s="691">
        <v>0</v>
      </c>
      <c r="BD167" s="691">
        <v>0</v>
      </c>
      <c r="BE167" s="691">
        <v>0</v>
      </c>
      <c r="BF167" s="691">
        <v>0</v>
      </c>
      <c r="BG167" s="691">
        <v>0</v>
      </c>
      <c r="BH167" s="691">
        <v>0</v>
      </c>
      <c r="BI167" s="691">
        <v>0</v>
      </c>
      <c r="BJ167" s="691">
        <v>0</v>
      </c>
      <c r="BK167" s="691">
        <v>0</v>
      </c>
      <c r="BL167" s="691">
        <v>0</v>
      </c>
      <c r="BM167" s="691">
        <v>0</v>
      </c>
      <c r="BN167" s="691">
        <v>0</v>
      </c>
      <c r="BO167" s="691">
        <v>0</v>
      </c>
      <c r="BP167" s="691">
        <v>0</v>
      </c>
      <c r="BQ167" s="691">
        <v>0</v>
      </c>
      <c r="BR167" s="691">
        <v>0</v>
      </c>
      <c r="BS167" s="691">
        <v>0</v>
      </c>
      <c r="BT167" s="692">
        <v>0</v>
      </c>
    </row>
    <row r="168" spans="2:72" hidden="1" outlineLevel="1">
      <c r="B168" s="752"/>
      <c r="C168" s="752"/>
      <c r="D168" s="752" t="s">
        <v>106</v>
      </c>
      <c r="E168" s="752"/>
      <c r="F168" s="752"/>
      <c r="G168" s="752"/>
      <c r="H168" s="889">
        <v>2015</v>
      </c>
      <c r="I168" s="639" t="s">
        <v>571</v>
      </c>
      <c r="J168" s="639" t="s">
        <v>585</v>
      </c>
      <c r="K168" s="628"/>
      <c r="L168" s="690">
        <v>0</v>
      </c>
      <c r="M168" s="691">
        <v>0</v>
      </c>
      <c r="N168" s="691">
        <v>0</v>
      </c>
      <c r="O168" s="691">
        <v>0</v>
      </c>
      <c r="P168" s="691">
        <v>127</v>
      </c>
      <c r="Q168" s="691">
        <v>127</v>
      </c>
      <c r="R168" s="691">
        <v>114</v>
      </c>
      <c r="S168" s="691">
        <v>114</v>
      </c>
      <c r="T168" s="691">
        <v>114</v>
      </c>
      <c r="U168" s="691">
        <v>114</v>
      </c>
      <c r="V168" s="691">
        <v>114</v>
      </c>
      <c r="W168" s="691">
        <v>113</v>
      </c>
      <c r="X168" s="691">
        <v>98</v>
      </c>
      <c r="Y168" s="691">
        <v>76</v>
      </c>
      <c r="Z168" s="691">
        <v>52</v>
      </c>
      <c r="AA168" s="691">
        <v>3</v>
      </c>
      <c r="AB168" s="691">
        <v>0</v>
      </c>
      <c r="AC168" s="691">
        <v>0</v>
      </c>
      <c r="AD168" s="691">
        <v>0</v>
      </c>
      <c r="AE168" s="691">
        <v>0</v>
      </c>
      <c r="AF168" s="691">
        <v>0</v>
      </c>
      <c r="AG168" s="691">
        <v>0</v>
      </c>
      <c r="AH168" s="691">
        <v>0</v>
      </c>
      <c r="AI168" s="691">
        <v>0</v>
      </c>
      <c r="AJ168" s="691">
        <v>0</v>
      </c>
      <c r="AK168" s="691">
        <v>0</v>
      </c>
      <c r="AL168" s="691">
        <v>0</v>
      </c>
      <c r="AM168" s="691">
        <v>0</v>
      </c>
      <c r="AN168" s="691">
        <v>0</v>
      </c>
      <c r="AO168" s="692">
        <v>0</v>
      </c>
      <c r="AP168" s="628"/>
      <c r="AQ168" s="690">
        <v>0</v>
      </c>
      <c r="AR168" s="691">
        <v>0</v>
      </c>
      <c r="AS168" s="691">
        <v>0</v>
      </c>
      <c r="AT168" s="691">
        <v>0</v>
      </c>
      <c r="AU168" s="691">
        <v>835231</v>
      </c>
      <c r="AV168" s="691">
        <v>835231</v>
      </c>
      <c r="AW168" s="691">
        <v>768099</v>
      </c>
      <c r="AX168" s="691">
        <v>768099</v>
      </c>
      <c r="AY168" s="691">
        <v>768099</v>
      </c>
      <c r="AZ168" s="691">
        <v>768099</v>
      </c>
      <c r="BA168" s="691">
        <v>768099</v>
      </c>
      <c r="BB168" s="691">
        <v>762924</v>
      </c>
      <c r="BC168" s="691">
        <v>613519</v>
      </c>
      <c r="BD168" s="691">
        <v>442289</v>
      </c>
      <c r="BE168" s="691">
        <v>405831</v>
      </c>
      <c r="BF168" s="691">
        <v>62549</v>
      </c>
      <c r="BG168" s="691">
        <v>0</v>
      </c>
      <c r="BH168" s="691">
        <v>0</v>
      </c>
      <c r="BI168" s="691">
        <v>0</v>
      </c>
      <c r="BJ168" s="691">
        <v>0</v>
      </c>
      <c r="BK168" s="691">
        <v>0</v>
      </c>
      <c r="BL168" s="691">
        <v>0</v>
      </c>
      <c r="BM168" s="691">
        <v>0</v>
      </c>
      <c r="BN168" s="691">
        <v>0</v>
      </c>
      <c r="BO168" s="691">
        <v>0</v>
      </c>
      <c r="BP168" s="691">
        <v>0</v>
      </c>
      <c r="BQ168" s="691">
        <v>0</v>
      </c>
      <c r="BR168" s="691">
        <v>0</v>
      </c>
      <c r="BS168" s="691">
        <v>0</v>
      </c>
      <c r="BT168" s="692">
        <v>0</v>
      </c>
    </row>
    <row r="169" spans="2:72" hidden="1" outlineLevel="1">
      <c r="B169" s="752"/>
      <c r="C169" s="752"/>
      <c r="D169" s="752" t="s">
        <v>105</v>
      </c>
      <c r="E169" s="752"/>
      <c r="F169" s="752"/>
      <c r="G169" s="752"/>
      <c r="H169" s="889">
        <v>2015</v>
      </c>
      <c r="I169" s="639" t="s">
        <v>571</v>
      </c>
      <c r="J169" s="639" t="s">
        <v>585</v>
      </c>
      <c r="K169" s="628"/>
      <c r="L169" s="690">
        <v>0</v>
      </c>
      <c r="M169" s="691">
        <v>0</v>
      </c>
      <c r="N169" s="691">
        <v>0</v>
      </c>
      <c r="O169" s="691">
        <v>0</v>
      </c>
      <c r="P169" s="691">
        <v>0</v>
      </c>
      <c r="Q169" s="691">
        <v>0</v>
      </c>
      <c r="R169" s="691">
        <v>0</v>
      </c>
      <c r="S169" s="691">
        <v>0</v>
      </c>
      <c r="T169" s="691">
        <v>0</v>
      </c>
      <c r="U169" s="691">
        <v>0</v>
      </c>
      <c r="V169" s="691">
        <v>0</v>
      </c>
      <c r="W169" s="691">
        <v>0</v>
      </c>
      <c r="X169" s="691">
        <v>0</v>
      </c>
      <c r="Y169" s="691">
        <v>0</v>
      </c>
      <c r="Z169" s="691">
        <v>0</v>
      </c>
      <c r="AA169" s="691">
        <v>0</v>
      </c>
      <c r="AB169" s="691">
        <v>0</v>
      </c>
      <c r="AC169" s="691">
        <v>0</v>
      </c>
      <c r="AD169" s="691">
        <v>0</v>
      </c>
      <c r="AE169" s="691">
        <v>0</v>
      </c>
      <c r="AF169" s="691">
        <v>0</v>
      </c>
      <c r="AG169" s="691">
        <v>0</v>
      </c>
      <c r="AH169" s="691">
        <v>0</v>
      </c>
      <c r="AI169" s="691">
        <v>0</v>
      </c>
      <c r="AJ169" s="691">
        <v>0</v>
      </c>
      <c r="AK169" s="691">
        <v>0</v>
      </c>
      <c r="AL169" s="691">
        <v>0</v>
      </c>
      <c r="AM169" s="691">
        <v>0</v>
      </c>
      <c r="AN169" s="691">
        <v>0</v>
      </c>
      <c r="AO169" s="692">
        <v>0</v>
      </c>
      <c r="AP169" s="628"/>
      <c r="AQ169" s="690">
        <v>0</v>
      </c>
      <c r="AR169" s="691">
        <v>0</v>
      </c>
      <c r="AS169" s="691">
        <v>0</v>
      </c>
      <c r="AT169" s="691">
        <v>0</v>
      </c>
      <c r="AU169" s="691">
        <v>0</v>
      </c>
      <c r="AV169" s="691">
        <v>0</v>
      </c>
      <c r="AW169" s="691">
        <v>0</v>
      </c>
      <c r="AX169" s="691">
        <v>0</v>
      </c>
      <c r="AY169" s="691">
        <v>0</v>
      </c>
      <c r="AZ169" s="691">
        <v>0</v>
      </c>
      <c r="BA169" s="691">
        <v>0</v>
      </c>
      <c r="BB169" s="691">
        <v>0</v>
      </c>
      <c r="BC169" s="691">
        <v>0</v>
      </c>
      <c r="BD169" s="691">
        <v>0</v>
      </c>
      <c r="BE169" s="691">
        <v>0</v>
      </c>
      <c r="BF169" s="691">
        <v>0</v>
      </c>
      <c r="BG169" s="691">
        <v>0</v>
      </c>
      <c r="BH169" s="691">
        <v>0</v>
      </c>
      <c r="BI169" s="691">
        <v>0</v>
      </c>
      <c r="BJ169" s="691">
        <v>0</v>
      </c>
      <c r="BK169" s="691">
        <v>0</v>
      </c>
      <c r="BL169" s="691">
        <v>0</v>
      </c>
      <c r="BM169" s="691">
        <v>0</v>
      </c>
      <c r="BN169" s="691">
        <v>0</v>
      </c>
      <c r="BO169" s="691">
        <v>0</v>
      </c>
      <c r="BP169" s="691">
        <v>0</v>
      </c>
      <c r="BQ169" s="691">
        <v>0</v>
      </c>
      <c r="BR169" s="691">
        <v>0</v>
      </c>
      <c r="BS169" s="691">
        <v>0</v>
      </c>
      <c r="BT169" s="692">
        <v>0</v>
      </c>
    </row>
    <row r="170" spans="2:72" hidden="1" outlineLevel="1">
      <c r="B170" s="752"/>
      <c r="C170" s="752"/>
      <c r="D170" s="752" t="s">
        <v>108</v>
      </c>
      <c r="E170" s="752"/>
      <c r="F170" s="752"/>
      <c r="G170" s="752"/>
      <c r="H170" s="889">
        <v>2015</v>
      </c>
      <c r="I170" s="639" t="s">
        <v>571</v>
      </c>
      <c r="J170" s="639" t="s">
        <v>585</v>
      </c>
      <c r="K170" s="628"/>
      <c r="L170" s="690">
        <v>0</v>
      </c>
      <c r="M170" s="691">
        <v>0</v>
      </c>
      <c r="N170" s="691">
        <v>0</v>
      </c>
      <c r="O170" s="691">
        <v>0</v>
      </c>
      <c r="P170" s="691">
        <v>23</v>
      </c>
      <c r="Q170" s="691">
        <v>22</v>
      </c>
      <c r="R170" s="691">
        <v>22</v>
      </c>
      <c r="S170" s="691">
        <v>22</v>
      </c>
      <c r="T170" s="691">
        <v>22</v>
      </c>
      <c r="U170" s="691">
        <v>22</v>
      </c>
      <c r="V170" s="691">
        <v>22</v>
      </c>
      <c r="W170" s="691">
        <v>22</v>
      </c>
      <c r="X170" s="691">
        <v>21</v>
      </c>
      <c r="Y170" s="691">
        <v>21</v>
      </c>
      <c r="Z170" s="691">
        <v>20</v>
      </c>
      <c r="AA170" s="691">
        <v>20</v>
      </c>
      <c r="AB170" s="691">
        <v>20</v>
      </c>
      <c r="AC170" s="691">
        <v>20</v>
      </c>
      <c r="AD170" s="691">
        <v>18</v>
      </c>
      <c r="AE170" s="691">
        <v>18</v>
      </c>
      <c r="AF170" s="691">
        <v>18</v>
      </c>
      <c r="AG170" s="691">
        <v>18</v>
      </c>
      <c r="AH170" s="691">
        <v>18</v>
      </c>
      <c r="AI170" s="691">
        <v>18</v>
      </c>
      <c r="AJ170" s="691">
        <v>0</v>
      </c>
      <c r="AK170" s="691">
        <v>0</v>
      </c>
      <c r="AL170" s="691">
        <v>0</v>
      </c>
      <c r="AM170" s="691">
        <v>0</v>
      </c>
      <c r="AN170" s="691">
        <v>0</v>
      </c>
      <c r="AO170" s="692">
        <v>0</v>
      </c>
      <c r="AP170" s="628"/>
      <c r="AQ170" s="690">
        <v>0</v>
      </c>
      <c r="AR170" s="691">
        <v>0</v>
      </c>
      <c r="AS170" s="691">
        <v>0</v>
      </c>
      <c r="AT170" s="691">
        <v>0</v>
      </c>
      <c r="AU170" s="691">
        <v>109589</v>
      </c>
      <c r="AV170" s="691">
        <v>95070</v>
      </c>
      <c r="AW170" s="691">
        <v>92168</v>
      </c>
      <c r="AX170" s="691">
        <v>89267</v>
      </c>
      <c r="AY170" s="691">
        <v>89267</v>
      </c>
      <c r="AZ170" s="691">
        <v>89267</v>
      </c>
      <c r="BA170" s="691">
        <v>87648</v>
      </c>
      <c r="BB170" s="691">
        <v>87598</v>
      </c>
      <c r="BC170" s="691">
        <v>66818</v>
      </c>
      <c r="BD170" s="691">
        <v>66818</v>
      </c>
      <c r="BE170" s="691">
        <v>62846</v>
      </c>
      <c r="BF170" s="691">
        <v>62846</v>
      </c>
      <c r="BG170" s="691">
        <v>61389</v>
      </c>
      <c r="BH170" s="691">
        <v>61389</v>
      </c>
      <c r="BI170" s="691">
        <v>48615</v>
      </c>
      <c r="BJ170" s="691">
        <v>44870</v>
      </c>
      <c r="BK170" s="691">
        <v>44870</v>
      </c>
      <c r="BL170" s="691">
        <v>44870</v>
      </c>
      <c r="BM170" s="691">
        <v>44870</v>
      </c>
      <c r="BN170" s="691">
        <v>44870</v>
      </c>
      <c r="BO170" s="691">
        <v>591</v>
      </c>
      <c r="BP170" s="691">
        <v>0</v>
      </c>
      <c r="BQ170" s="691">
        <v>0</v>
      </c>
      <c r="BR170" s="691">
        <v>0</v>
      </c>
      <c r="BS170" s="691">
        <v>0</v>
      </c>
      <c r="BT170" s="692">
        <v>0</v>
      </c>
    </row>
    <row r="171" spans="2:72" hidden="1" outlineLevel="1">
      <c r="B171" s="752"/>
      <c r="C171" s="752"/>
      <c r="D171" s="752" t="s">
        <v>495</v>
      </c>
      <c r="E171" s="752"/>
      <c r="F171" s="752"/>
      <c r="G171" s="752"/>
      <c r="H171" s="889">
        <v>2015</v>
      </c>
      <c r="I171" s="639" t="s">
        <v>571</v>
      </c>
      <c r="J171" s="639" t="s">
        <v>585</v>
      </c>
      <c r="K171" s="628"/>
      <c r="L171" s="690">
        <v>0</v>
      </c>
      <c r="M171" s="691">
        <v>0</v>
      </c>
      <c r="N171" s="691">
        <v>0</v>
      </c>
      <c r="O171" s="691">
        <v>0</v>
      </c>
      <c r="P171" s="691">
        <v>0</v>
      </c>
      <c r="Q171" s="691">
        <v>0</v>
      </c>
      <c r="R171" s="691">
        <v>0</v>
      </c>
      <c r="S171" s="691">
        <v>0</v>
      </c>
      <c r="T171" s="691">
        <v>0</v>
      </c>
      <c r="U171" s="691">
        <v>0</v>
      </c>
      <c r="V171" s="691">
        <v>0</v>
      </c>
      <c r="W171" s="691">
        <v>0</v>
      </c>
      <c r="X171" s="691">
        <v>0</v>
      </c>
      <c r="Y171" s="691">
        <v>0</v>
      </c>
      <c r="Z171" s="691">
        <v>0</v>
      </c>
      <c r="AA171" s="691">
        <v>0</v>
      </c>
      <c r="AB171" s="691">
        <v>0</v>
      </c>
      <c r="AC171" s="691">
        <v>0</v>
      </c>
      <c r="AD171" s="691">
        <v>0</v>
      </c>
      <c r="AE171" s="691">
        <v>0</v>
      </c>
      <c r="AF171" s="691">
        <v>0</v>
      </c>
      <c r="AG171" s="691">
        <v>0</v>
      </c>
      <c r="AH171" s="691">
        <v>0</v>
      </c>
      <c r="AI171" s="691">
        <v>0</v>
      </c>
      <c r="AJ171" s="691">
        <v>0</v>
      </c>
      <c r="AK171" s="691">
        <v>0</v>
      </c>
      <c r="AL171" s="691">
        <v>0</v>
      </c>
      <c r="AM171" s="691">
        <v>0</v>
      </c>
      <c r="AN171" s="691">
        <v>0</v>
      </c>
      <c r="AO171" s="692">
        <v>0</v>
      </c>
      <c r="AP171" s="628"/>
      <c r="AQ171" s="690">
        <v>0</v>
      </c>
      <c r="AR171" s="691">
        <v>0</v>
      </c>
      <c r="AS171" s="691">
        <v>0</v>
      </c>
      <c r="AT171" s="691">
        <v>0</v>
      </c>
      <c r="AU171" s="691">
        <v>0</v>
      </c>
      <c r="AV171" s="691">
        <v>0</v>
      </c>
      <c r="AW171" s="691">
        <v>0</v>
      </c>
      <c r="AX171" s="691">
        <v>0</v>
      </c>
      <c r="AY171" s="691">
        <v>0</v>
      </c>
      <c r="AZ171" s="691">
        <v>0</v>
      </c>
      <c r="BA171" s="691">
        <v>0</v>
      </c>
      <c r="BB171" s="691">
        <v>0</v>
      </c>
      <c r="BC171" s="691">
        <v>0</v>
      </c>
      <c r="BD171" s="691">
        <v>0</v>
      </c>
      <c r="BE171" s="691">
        <v>0</v>
      </c>
      <c r="BF171" s="691">
        <v>0</v>
      </c>
      <c r="BG171" s="691">
        <v>0</v>
      </c>
      <c r="BH171" s="691">
        <v>0</v>
      </c>
      <c r="BI171" s="691">
        <v>0</v>
      </c>
      <c r="BJ171" s="691">
        <v>0</v>
      </c>
      <c r="BK171" s="691">
        <v>0</v>
      </c>
      <c r="BL171" s="691">
        <v>0</v>
      </c>
      <c r="BM171" s="691">
        <v>0</v>
      </c>
      <c r="BN171" s="691">
        <v>0</v>
      </c>
      <c r="BO171" s="691">
        <v>0</v>
      </c>
      <c r="BP171" s="691">
        <v>0</v>
      </c>
      <c r="BQ171" s="691">
        <v>0</v>
      </c>
      <c r="BR171" s="691">
        <v>0</v>
      </c>
      <c r="BS171" s="691">
        <v>0</v>
      </c>
      <c r="BT171" s="692">
        <v>0</v>
      </c>
    </row>
    <row r="172" spans="2:72" hidden="1" outlineLevel="1">
      <c r="B172" s="752"/>
      <c r="C172" s="752"/>
      <c r="D172" s="752" t="s">
        <v>491</v>
      </c>
      <c r="E172" s="752"/>
      <c r="F172" s="752"/>
      <c r="G172" s="752"/>
      <c r="H172" s="889">
        <v>2015</v>
      </c>
      <c r="I172" s="639" t="s">
        <v>571</v>
      </c>
      <c r="J172" s="639" t="s">
        <v>585</v>
      </c>
      <c r="K172" s="628"/>
      <c r="L172" s="690">
        <v>0</v>
      </c>
      <c r="M172" s="691">
        <v>0</v>
      </c>
      <c r="N172" s="691">
        <v>0</v>
      </c>
      <c r="O172" s="691">
        <v>0</v>
      </c>
      <c r="P172" s="691">
        <v>0</v>
      </c>
      <c r="Q172" s="691">
        <v>0</v>
      </c>
      <c r="R172" s="691">
        <v>0</v>
      </c>
      <c r="S172" s="691">
        <v>0</v>
      </c>
      <c r="T172" s="691">
        <v>0</v>
      </c>
      <c r="U172" s="691">
        <v>0</v>
      </c>
      <c r="V172" s="691">
        <v>0</v>
      </c>
      <c r="W172" s="691">
        <v>0</v>
      </c>
      <c r="X172" s="691">
        <v>0</v>
      </c>
      <c r="Y172" s="691">
        <v>0</v>
      </c>
      <c r="Z172" s="691">
        <v>0</v>
      </c>
      <c r="AA172" s="691">
        <v>0</v>
      </c>
      <c r="AB172" s="691">
        <v>0</v>
      </c>
      <c r="AC172" s="691">
        <v>0</v>
      </c>
      <c r="AD172" s="691">
        <v>0</v>
      </c>
      <c r="AE172" s="691">
        <v>0</v>
      </c>
      <c r="AF172" s="691">
        <v>0</v>
      </c>
      <c r="AG172" s="691">
        <v>0</v>
      </c>
      <c r="AH172" s="691">
        <v>0</v>
      </c>
      <c r="AI172" s="691">
        <v>0</v>
      </c>
      <c r="AJ172" s="691">
        <v>0</v>
      </c>
      <c r="AK172" s="691">
        <v>0</v>
      </c>
      <c r="AL172" s="691">
        <v>0</v>
      </c>
      <c r="AM172" s="691">
        <v>0</v>
      </c>
      <c r="AN172" s="691">
        <v>0</v>
      </c>
      <c r="AO172" s="692">
        <v>0</v>
      </c>
      <c r="AP172" s="628"/>
      <c r="AQ172" s="690">
        <v>0</v>
      </c>
      <c r="AR172" s="691">
        <v>0</v>
      </c>
      <c r="AS172" s="691">
        <v>0</v>
      </c>
      <c r="AT172" s="691">
        <v>0</v>
      </c>
      <c r="AU172" s="691">
        <v>0</v>
      </c>
      <c r="AV172" s="691">
        <v>0</v>
      </c>
      <c r="AW172" s="691">
        <v>0</v>
      </c>
      <c r="AX172" s="691">
        <v>0</v>
      </c>
      <c r="AY172" s="691">
        <v>0</v>
      </c>
      <c r="AZ172" s="691">
        <v>0</v>
      </c>
      <c r="BA172" s="691">
        <v>0</v>
      </c>
      <c r="BB172" s="691">
        <v>0</v>
      </c>
      <c r="BC172" s="691">
        <v>0</v>
      </c>
      <c r="BD172" s="691">
        <v>0</v>
      </c>
      <c r="BE172" s="691">
        <v>0</v>
      </c>
      <c r="BF172" s="691">
        <v>0</v>
      </c>
      <c r="BG172" s="691">
        <v>0</v>
      </c>
      <c r="BH172" s="691">
        <v>0</v>
      </c>
      <c r="BI172" s="691">
        <v>0</v>
      </c>
      <c r="BJ172" s="691">
        <v>0</v>
      </c>
      <c r="BK172" s="691">
        <v>0</v>
      </c>
      <c r="BL172" s="691">
        <v>0</v>
      </c>
      <c r="BM172" s="691">
        <v>0</v>
      </c>
      <c r="BN172" s="691">
        <v>0</v>
      </c>
      <c r="BO172" s="691">
        <v>0</v>
      </c>
      <c r="BP172" s="691">
        <v>0</v>
      </c>
      <c r="BQ172" s="691">
        <v>0</v>
      </c>
      <c r="BR172" s="691">
        <v>0</v>
      </c>
      <c r="BS172" s="691">
        <v>0</v>
      </c>
      <c r="BT172" s="692">
        <v>0</v>
      </c>
    </row>
    <row r="173" spans="2:72" hidden="1" outlineLevel="1">
      <c r="B173" s="752"/>
      <c r="C173" s="752"/>
      <c r="D173" s="752" t="s">
        <v>761</v>
      </c>
      <c r="E173" s="752"/>
      <c r="F173" s="752"/>
      <c r="G173" s="752"/>
      <c r="H173" s="889">
        <v>2015</v>
      </c>
      <c r="I173" s="639" t="s">
        <v>571</v>
      </c>
      <c r="J173" s="639" t="s">
        <v>585</v>
      </c>
      <c r="K173" s="628"/>
      <c r="L173" s="690">
        <v>0</v>
      </c>
      <c r="M173" s="691">
        <v>0</v>
      </c>
      <c r="N173" s="691">
        <v>0</v>
      </c>
      <c r="O173" s="691">
        <v>0</v>
      </c>
      <c r="P173" s="691">
        <v>0</v>
      </c>
      <c r="Q173" s="691">
        <v>0</v>
      </c>
      <c r="R173" s="691">
        <v>0</v>
      </c>
      <c r="S173" s="691">
        <v>0</v>
      </c>
      <c r="T173" s="691">
        <v>0</v>
      </c>
      <c r="U173" s="691">
        <v>0</v>
      </c>
      <c r="V173" s="691">
        <v>0</v>
      </c>
      <c r="W173" s="691">
        <v>0</v>
      </c>
      <c r="X173" s="691">
        <v>0</v>
      </c>
      <c r="Y173" s="691">
        <v>0</v>
      </c>
      <c r="Z173" s="691">
        <v>0</v>
      </c>
      <c r="AA173" s="691">
        <v>0</v>
      </c>
      <c r="AB173" s="691">
        <v>0</v>
      </c>
      <c r="AC173" s="691">
        <v>0</v>
      </c>
      <c r="AD173" s="691">
        <v>0</v>
      </c>
      <c r="AE173" s="691">
        <v>0</v>
      </c>
      <c r="AF173" s="691">
        <v>0</v>
      </c>
      <c r="AG173" s="691">
        <v>0</v>
      </c>
      <c r="AH173" s="691">
        <v>0</v>
      </c>
      <c r="AI173" s="691">
        <v>0</v>
      </c>
      <c r="AJ173" s="691">
        <v>0</v>
      </c>
      <c r="AK173" s="691">
        <v>0</v>
      </c>
      <c r="AL173" s="691">
        <v>0</v>
      </c>
      <c r="AM173" s="691">
        <v>0</v>
      </c>
      <c r="AN173" s="691">
        <v>0</v>
      </c>
      <c r="AO173" s="692">
        <v>0</v>
      </c>
      <c r="AP173" s="628"/>
      <c r="AQ173" s="690">
        <v>0</v>
      </c>
      <c r="AR173" s="691">
        <v>0</v>
      </c>
      <c r="AS173" s="691">
        <v>0</v>
      </c>
      <c r="AT173" s="691">
        <v>0</v>
      </c>
      <c r="AU173" s="691">
        <v>0</v>
      </c>
      <c r="AV173" s="691">
        <v>0</v>
      </c>
      <c r="AW173" s="691">
        <v>0</v>
      </c>
      <c r="AX173" s="691">
        <v>0</v>
      </c>
      <c r="AY173" s="691">
        <v>0</v>
      </c>
      <c r="AZ173" s="691">
        <v>0</v>
      </c>
      <c r="BA173" s="691">
        <v>0</v>
      </c>
      <c r="BB173" s="691">
        <v>0</v>
      </c>
      <c r="BC173" s="691">
        <v>0</v>
      </c>
      <c r="BD173" s="691">
        <v>0</v>
      </c>
      <c r="BE173" s="691">
        <v>0</v>
      </c>
      <c r="BF173" s="691">
        <v>0</v>
      </c>
      <c r="BG173" s="691">
        <v>0</v>
      </c>
      <c r="BH173" s="691">
        <v>0</v>
      </c>
      <c r="BI173" s="691">
        <v>0</v>
      </c>
      <c r="BJ173" s="691">
        <v>0</v>
      </c>
      <c r="BK173" s="691">
        <v>0</v>
      </c>
      <c r="BL173" s="691">
        <v>0</v>
      </c>
      <c r="BM173" s="691">
        <v>0</v>
      </c>
      <c r="BN173" s="691">
        <v>0</v>
      </c>
      <c r="BO173" s="691">
        <v>0</v>
      </c>
      <c r="BP173" s="691">
        <v>0</v>
      </c>
      <c r="BQ173" s="691">
        <v>0</v>
      </c>
      <c r="BR173" s="691">
        <v>0</v>
      </c>
      <c r="BS173" s="691">
        <v>0</v>
      </c>
      <c r="BT173" s="692">
        <v>0</v>
      </c>
    </row>
    <row r="174" spans="2:72" hidden="1" outlineLevel="1">
      <c r="B174" s="752"/>
      <c r="C174" s="752"/>
      <c r="D174" s="752" t="s">
        <v>762</v>
      </c>
      <c r="E174" s="752"/>
      <c r="F174" s="752"/>
      <c r="G174" s="752"/>
      <c r="H174" s="889">
        <v>2015</v>
      </c>
      <c r="I174" s="639" t="s">
        <v>571</v>
      </c>
      <c r="J174" s="639" t="s">
        <v>585</v>
      </c>
      <c r="K174" s="628"/>
      <c r="L174" s="690">
        <v>0</v>
      </c>
      <c r="M174" s="691">
        <v>0</v>
      </c>
      <c r="N174" s="691">
        <v>0</v>
      </c>
      <c r="O174" s="691">
        <v>0</v>
      </c>
      <c r="P174" s="691">
        <v>52</v>
      </c>
      <c r="Q174" s="691">
        <v>52</v>
      </c>
      <c r="R174" s="691">
        <v>52</v>
      </c>
      <c r="S174" s="691">
        <v>52</v>
      </c>
      <c r="T174" s="691">
        <v>52</v>
      </c>
      <c r="U174" s="691">
        <v>52</v>
      </c>
      <c r="V174" s="691">
        <v>52</v>
      </c>
      <c r="W174" s="691">
        <v>52</v>
      </c>
      <c r="X174" s="691">
        <v>52</v>
      </c>
      <c r="Y174" s="691">
        <v>52</v>
      </c>
      <c r="Z174" s="691">
        <v>0</v>
      </c>
      <c r="AA174" s="691">
        <v>0</v>
      </c>
      <c r="AB174" s="691">
        <v>0</v>
      </c>
      <c r="AC174" s="691">
        <v>0</v>
      </c>
      <c r="AD174" s="691">
        <v>0</v>
      </c>
      <c r="AE174" s="691">
        <v>0</v>
      </c>
      <c r="AF174" s="691">
        <v>0</v>
      </c>
      <c r="AG174" s="691">
        <v>0</v>
      </c>
      <c r="AH174" s="691">
        <v>0</v>
      </c>
      <c r="AI174" s="691">
        <v>0</v>
      </c>
      <c r="AJ174" s="691">
        <v>0</v>
      </c>
      <c r="AK174" s="691">
        <v>0</v>
      </c>
      <c r="AL174" s="691">
        <v>0</v>
      </c>
      <c r="AM174" s="691">
        <v>0</v>
      </c>
      <c r="AN174" s="691">
        <v>0</v>
      </c>
      <c r="AO174" s="692">
        <v>0</v>
      </c>
      <c r="AP174" s="628"/>
      <c r="AQ174" s="690">
        <v>0</v>
      </c>
      <c r="AR174" s="691">
        <v>0</v>
      </c>
      <c r="AS174" s="691">
        <v>0</v>
      </c>
      <c r="AT174" s="691">
        <v>0</v>
      </c>
      <c r="AU174" s="691">
        <v>441961</v>
      </c>
      <c r="AV174" s="691">
        <v>441961</v>
      </c>
      <c r="AW174" s="691">
        <v>441961</v>
      </c>
      <c r="AX174" s="691">
        <v>441961</v>
      </c>
      <c r="AY174" s="691">
        <v>441961</v>
      </c>
      <c r="AZ174" s="691">
        <v>441961</v>
      </c>
      <c r="BA174" s="691">
        <v>441961</v>
      </c>
      <c r="BB174" s="691">
        <v>441961</v>
      </c>
      <c r="BC174" s="691">
        <v>441961</v>
      </c>
      <c r="BD174" s="691">
        <v>441961</v>
      </c>
      <c r="BE174" s="691">
        <v>0</v>
      </c>
      <c r="BF174" s="691">
        <v>0</v>
      </c>
      <c r="BG174" s="691">
        <v>0</v>
      </c>
      <c r="BH174" s="691">
        <v>0</v>
      </c>
      <c r="BI174" s="691">
        <v>0</v>
      </c>
      <c r="BJ174" s="691">
        <v>0</v>
      </c>
      <c r="BK174" s="691">
        <v>0</v>
      </c>
      <c r="BL174" s="691">
        <v>0</v>
      </c>
      <c r="BM174" s="691">
        <v>0</v>
      </c>
      <c r="BN174" s="691">
        <v>0</v>
      </c>
      <c r="BO174" s="691">
        <v>0</v>
      </c>
      <c r="BP174" s="691">
        <v>0</v>
      </c>
      <c r="BQ174" s="691">
        <v>0</v>
      </c>
      <c r="BR174" s="691">
        <v>0</v>
      </c>
      <c r="BS174" s="691">
        <v>0</v>
      </c>
      <c r="BT174" s="692">
        <v>0</v>
      </c>
    </row>
    <row r="175" spans="2:72" hidden="1" outlineLevel="1">
      <c r="B175" s="752"/>
      <c r="C175" s="752"/>
      <c r="D175" s="752" t="s">
        <v>763</v>
      </c>
      <c r="E175" s="752"/>
      <c r="F175" s="752"/>
      <c r="G175" s="752"/>
      <c r="H175" s="889">
        <v>2015</v>
      </c>
      <c r="I175" s="639" t="s">
        <v>571</v>
      </c>
      <c r="J175" s="639" t="s">
        <v>585</v>
      </c>
      <c r="K175" s="628"/>
      <c r="L175" s="690">
        <v>0</v>
      </c>
      <c r="M175" s="691">
        <v>0</v>
      </c>
      <c r="N175" s="691">
        <v>0</v>
      </c>
      <c r="O175" s="691">
        <v>0</v>
      </c>
      <c r="P175" s="691">
        <v>0</v>
      </c>
      <c r="Q175" s="691">
        <v>0</v>
      </c>
      <c r="R175" s="691">
        <v>0</v>
      </c>
      <c r="S175" s="691">
        <v>0</v>
      </c>
      <c r="T175" s="691">
        <v>0</v>
      </c>
      <c r="U175" s="691">
        <v>0</v>
      </c>
      <c r="V175" s="691">
        <v>0</v>
      </c>
      <c r="W175" s="691">
        <v>0</v>
      </c>
      <c r="X175" s="691">
        <v>0</v>
      </c>
      <c r="Y175" s="691">
        <v>0</v>
      </c>
      <c r="Z175" s="691">
        <v>0</v>
      </c>
      <c r="AA175" s="691">
        <v>0</v>
      </c>
      <c r="AB175" s="691">
        <v>0</v>
      </c>
      <c r="AC175" s="691">
        <v>0</v>
      </c>
      <c r="AD175" s="691">
        <v>0</v>
      </c>
      <c r="AE175" s="691">
        <v>0</v>
      </c>
      <c r="AF175" s="691">
        <v>0</v>
      </c>
      <c r="AG175" s="691">
        <v>0</v>
      </c>
      <c r="AH175" s="691">
        <v>0</v>
      </c>
      <c r="AI175" s="691">
        <v>0</v>
      </c>
      <c r="AJ175" s="691">
        <v>0</v>
      </c>
      <c r="AK175" s="691">
        <v>0</v>
      </c>
      <c r="AL175" s="691">
        <v>0</v>
      </c>
      <c r="AM175" s="691">
        <v>0</v>
      </c>
      <c r="AN175" s="691">
        <v>0</v>
      </c>
      <c r="AO175" s="692">
        <v>0</v>
      </c>
      <c r="AP175" s="628"/>
      <c r="AQ175" s="690">
        <v>0</v>
      </c>
      <c r="AR175" s="691">
        <v>0</v>
      </c>
      <c r="AS175" s="691">
        <v>0</v>
      </c>
      <c r="AT175" s="691">
        <v>0</v>
      </c>
      <c r="AU175" s="691">
        <v>0</v>
      </c>
      <c r="AV175" s="691">
        <v>0</v>
      </c>
      <c r="AW175" s="691">
        <v>0</v>
      </c>
      <c r="AX175" s="691">
        <v>0</v>
      </c>
      <c r="AY175" s="691">
        <v>0</v>
      </c>
      <c r="AZ175" s="691">
        <v>0</v>
      </c>
      <c r="BA175" s="691">
        <v>0</v>
      </c>
      <c r="BB175" s="691">
        <v>0</v>
      </c>
      <c r="BC175" s="691">
        <v>0</v>
      </c>
      <c r="BD175" s="691">
        <v>0</v>
      </c>
      <c r="BE175" s="691">
        <v>0</v>
      </c>
      <c r="BF175" s="691">
        <v>0</v>
      </c>
      <c r="BG175" s="691">
        <v>0</v>
      </c>
      <c r="BH175" s="691">
        <v>0</v>
      </c>
      <c r="BI175" s="691">
        <v>0</v>
      </c>
      <c r="BJ175" s="691">
        <v>0</v>
      </c>
      <c r="BK175" s="691">
        <v>0</v>
      </c>
      <c r="BL175" s="691">
        <v>0</v>
      </c>
      <c r="BM175" s="691">
        <v>0</v>
      </c>
      <c r="BN175" s="691">
        <v>0</v>
      </c>
      <c r="BO175" s="691">
        <v>0</v>
      </c>
      <c r="BP175" s="691">
        <v>0</v>
      </c>
      <c r="BQ175" s="691">
        <v>0</v>
      </c>
      <c r="BR175" s="691">
        <v>0</v>
      </c>
      <c r="BS175" s="691">
        <v>0</v>
      </c>
      <c r="BT175" s="692">
        <v>0</v>
      </c>
    </row>
    <row r="176" spans="2:72" hidden="1" outlineLevel="1">
      <c r="B176" s="752"/>
      <c r="C176" s="752"/>
      <c r="D176" s="752" t="s">
        <v>764</v>
      </c>
      <c r="E176" s="752"/>
      <c r="F176" s="752"/>
      <c r="G176" s="752"/>
      <c r="H176" s="889">
        <v>2015</v>
      </c>
      <c r="I176" s="639" t="s">
        <v>571</v>
      </c>
      <c r="J176" s="639" t="s">
        <v>585</v>
      </c>
      <c r="K176" s="628"/>
      <c r="L176" s="690">
        <v>0</v>
      </c>
      <c r="M176" s="691">
        <v>0</v>
      </c>
      <c r="N176" s="691">
        <v>0</v>
      </c>
      <c r="O176" s="691">
        <v>0</v>
      </c>
      <c r="P176" s="691">
        <v>0</v>
      </c>
      <c r="Q176" s="691">
        <v>0</v>
      </c>
      <c r="R176" s="691">
        <v>0</v>
      </c>
      <c r="S176" s="691">
        <v>0</v>
      </c>
      <c r="T176" s="691">
        <v>0</v>
      </c>
      <c r="U176" s="691">
        <v>0</v>
      </c>
      <c r="V176" s="691">
        <v>0</v>
      </c>
      <c r="W176" s="691">
        <v>0</v>
      </c>
      <c r="X176" s="691">
        <v>0</v>
      </c>
      <c r="Y176" s="691">
        <v>0</v>
      </c>
      <c r="Z176" s="691">
        <v>0</v>
      </c>
      <c r="AA176" s="691">
        <v>0</v>
      </c>
      <c r="AB176" s="691">
        <v>0</v>
      </c>
      <c r="AC176" s="691">
        <v>0</v>
      </c>
      <c r="AD176" s="691">
        <v>0</v>
      </c>
      <c r="AE176" s="691">
        <v>0</v>
      </c>
      <c r="AF176" s="691">
        <v>0</v>
      </c>
      <c r="AG176" s="691">
        <v>0</v>
      </c>
      <c r="AH176" s="691">
        <v>0</v>
      </c>
      <c r="AI176" s="691">
        <v>0</v>
      </c>
      <c r="AJ176" s="691">
        <v>0</v>
      </c>
      <c r="AK176" s="691">
        <v>0</v>
      </c>
      <c r="AL176" s="691">
        <v>0</v>
      </c>
      <c r="AM176" s="691">
        <v>0</v>
      </c>
      <c r="AN176" s="691">
        <v>0</v>
      </c>
      <c r="AO176" s="692">
        <v>0</v>
      </c>
      <c r="AP176" s="628"/>
      <c r="AQ176" s="690">
        <v>0</v>
      </c>
      <c r="AR176" s="691">
        <v>0</v>
      </c>
      <c r="AS176" s="691">
        <v>0</v>
      </c>
      <c r="AT176" s="691">
        <v>0</v>
      </c>
      <c r="AU176" s="691">
        <v>0</v>
      </c>
      <c r="AV176" s="691">
        <v>0</v>
      </c>
      <c r="AW176" s="691">
        <v>0</v>
      </c>
      <c r="AX176" s="691">
        <v>0</v>
      </c>
      <c r="AY176" s="691">
        <v>0</v>
      </c>
      <c r="AZ176" s="691">
        <v>0</v>
      </c>
      <c r="BA176" s="691">
        <v>0</v>
      </c>
      <c r="BB176" s="691">
        <v>0</v>
      </c>
      <c r="BC176" s="691">
        <v>0</v>
      </c>
      <c r="BD176" s="691">
        <v>0</v>
      </c>
      <c r="BE176" s="691">
        <v>0</v>
      </c>
      <c r="BF176" s="691">
        <v>0</v>
      </c>
      <c r="BG176" s="691">
        <v>0</v>
      </c>
      <c r="BH176" s="691">
        <v>0</v>
      </c>
      <c r="BI176" s="691">
        <v>0</v>
      </c>
      <c r="BJ176" s="691">
        <v>0</v>
      </c>
      <c r="BK176" s="691">
        <v>0</v>
      </c>
      <c r="BL176" s="691">
        <v>0</v>
      </c>
      <c r="BM176" s="691">
        <v>0</v>
      </c>
      <c r="BN176" s="691">
        <v>0</v>
      </c>
      <c r="BO176" s="691">
        <v>0</v>
      </c>
      <c r="BP176" s="691">
        <v>0</v>
      </c>
      <c r="BQ176" s="691">
        <v>0</v>
      </c>
      <c r="BR176" s="691">
        <v>0</v>
      </c>
      <c r="BS176" s="691">
        <v>0</v>
      </c>
      <c r="BT176" s="692">
        <v>0</v>
      </c>
    </row>
    <row r="177" spans="2:72" hidden="1" outlineLevel="1">
      <c r="B177" s="752"/>
      <c r="C177" s="752"/>
      <c r="D177" s="752" t="s">
        <v>95</v>
      </c>
      <c r="E177" s="752"/>
      <c r="F177" s="752"/>
      <c r="G177" s="752"/>
      <c r="H177" s="889">
        <v>2015</v>
      </c>
      <c r="I177" s="639" t="s">
        <v>572</v>
      </c>
      <c r="J177" s="639" t="s">
        <v>578</v>
      </c>
      <c r="K177" s="628"/>
      <c r="L177" s="690"/>
      <c r="M177" s="691"/>
      <c r="N177" s="691"/>
      <c r="O177" s="691"/>
      <c r="P177" s="691">
        <v>9</v>
      </c>
      <c r="Q177" s="691">
        <v>9</v>
      </c>
      <c r="R177" s="691">
        <v>9</v>
      </c>
      <c r="S177" s="691">
        <v>9</v>
      </c>
      <c r="T177" s="691">
        <v>9</v>
      </c>
      <c r="U177" s="691">
        <v>9</v>
      </c>
      <c r="V177" s="691">
        <v>9</v>
      </c>
      <c r="W177" s="691">
        <v>9</v>
      </c>
      <c r="X177" s="691">
        <v>9</v>
      </c>
      <c r="Y177" s="691">
        <v>9</v>
      </c>
      <c r="Z177" s="691">
        <v>8</v>
      </c>
      <c r="AA177" s="691">
        <v>8</v>
      </c>
      <c r="AB177" s="691">
        <v>8</v>
      </c>
      <c r="AC177" s="691">
        <v>8</v>
      </c>
      <c r="AD177" s="691">
        <v>8</v>
      </c>
      <c r="AE177" s="691">
        <v>8</v>
      </c>
      <c r="AF177" s="691">
        <v>4</v>
      </c>
      <c r="AG177" s="691">
        <v>4</v>
      </c>
      <c r="AH177" s="691">
        <v>4</v>
      </c>
      <c r="AI177" s="691">
        <v>4</v>
      </c>
      <c r="AJ177" s="691">
        <v>0</v>
      </c>
      <c r="AK177" s="691">
        <v>0</v>
      </c>
      <c r="AL177" s="691">
        <v>0</v>
      </c>
      <c r="AM177" s="691">
        <v>0</v>
      </c>
      <c r="AN177" s="691">
        <v>0</v>
      </c>
      <c r="AO177" s="692">
        <v>0</v>
      </c>
      <c r="AP177" s="628"/>
      <c r="AQ177" s="690"/>
      <c r="AR177" s="691"/>
      <c r="AS177" s="691"/>
      <c r="AT177" s="691"/>
      <c r="AU177" s="691">
        <v>139170</v>
      </c>
      <c r="AV177" s="691">
        <v>137165</v>
      </c>
      <c r="AW177" s="691">
        <v>137165</v>
      </c>
      <c r="AX177" s="691">
        <v>137165</v>
      </c>
      <c r="AY177" s="691">
        <v>137165</v>
      </c>
      <c r="AZ177" s="691">
        <v>137165</v>
      </c>
      <c r="BA177" s="691">
        <v>137165</v>
      </c>
      <c r="BB177" s="691">
        <v>137110</v>
      </c>
      <c r="BC177" s="691">
        <v>137110</v>
      </c>
      <c r="BD177" s="691">
        <v>137110</v>
      </c>
      <c r="BE177" s="691">
        <v>133664</v>
      </c>
      <c r="BF177" s="691">
        <v>133517</v>
      </c>
      <c r="BG177" s="691">
        <v>133517</v>
      </c>
      <c r="BH177" s="691">
        <v>133217</v>
      </c>
      <c r="BI177" s="691">
        <v>133217</v>
      </c>
      <c r="BJ177" s="691">
        <v>132978</v>
      </c>
      <c r="BK177" s="691">
        <v>69081</v>
      </c>
      <c r="BL177" s="691">
        <v>69081</v>
      </c>
      <c r="BM177" s="691">
        <v>69081</v>
      </c>
      <c r="BN177" s="691">
        <v>69081</v>
      </c>
      <c r="BO177" s="691">
        <v>0</v>
      </c>
      <c r="BP177" s="691">
        <v>0</v>
      </c>
      <c r="BQ177" s="691">
        <v>0</v>
      </c>
      <c r="BR177" s="691">
        <v>0</v>
      </c>
      <c r="BS177" s="691">
        <v>0</v>
      </c>
      <c r="BT177" s="692">
        <v>0</v>
      </c>
    </row>
    <row r="178" spans="2:72" hidden="1" outlineLevel="1">
      <c r="B178" s="752"/>
      <c r="C178" s="752"/>
      <c r="D178" s="752" t="s">
        <v>96</v>
      </c>
      <c r="E178" s="752"/>
      <c r="F178" s="752"/>
      <c r="G178" s="752"/>
      <c r="H178" s="889">
        <v>2015</v>
      </c>
      <c r="I178" s="639" t="s">
        <v>572</v>
      </c>
      <c r="J178" s="639" t="s">
        <v>578</v>
      </c>
      <c r="K178" s="628"/>
      <c r="L178" s="690"/>
      <c r="M178" s="691"/>
      <c r="N178" s="691"/>
      <c r="O178" s="691"/>
      <c r="P178" s="691">
        <v>1</v>
      </c>
      <c r="Q178" s="691">
        <v>1</v>
      </c>
      <c r="R178" s="691">
        <v>1</v>
      </c>
      <c r="S178" s="691">
        <v>1</v>
      </c>
      <c r="T178" s="691">
        <v>1</v>
      </c>
      <c r="U178" s="691">
        <v>1</v>
      </c>
      <c r="V178" s="691">
        <v>1</v>
      </c>
      <c r="W178" s="691">
        <v>1</v>
      </c>
      <c r="X178" s="691">
        <v>1</v>
      </c>
      <c r="Y178" s="691">
        <v>1</v>
      </c>
      <c r="Z178" s="691">
        <v>1</v>
      </c>
      <c r="AA178" s="691">
        <v>1</v>
      </c>
      <c r="AB178" s="691">
        <v>1</v>
      </c>
      <c r="AC178" s="691">
        <v>1</v>
      </c>
      <c r="AD178" s="691">
        <v>1</v>
      </c>
      <c r="AE178" s="691">
        <v>1</v>
      </c>
      <c r="AF178" s="691">
        <v>0</v>
      </c>
      <c r="AG178" s="691">
        <v>0</v>
      </c>
      <c r="AH178" s="691">
        <v>0</v>
      </c>
      <c r="AI178" s="691">
        <v>0</v>
      </c>
      <c r="AJ178" s="691">
        <v>0</v>
      </c>
      <c r="AK178" s="691">
        <v>0</v>
      </c>
      <c r="AL178" s="691">
        <v>0</v>
      </c>
      <c r="AM178" s="691">
        <v>0</v>
      </c>
      <c r="AN178" s="691">
        <v>0</v>
      </c>
      <c r="AO178" s="692">
        <v>0</v>
      </c>
      <c r="AP178" s="628"/>
      <c r="AQ178" s="690"/>
      <c r="AR178" s="691"/>
      <c r="AS178" s="691"/>
      <c r="AT178" s="691"/>
      <c r="AU178" s="691">
        <v>15568</v>
      </c>
      <c r="AV178" s="691">
        <v>15385</v>
      </c>
      <c r="AW178" s="691">
        <v>15385</v>
      </c>
      <c r="AX178" s="691">
        <v>15385</v>
      </c>
      <c r="AY178" s="691">
        <v>15385</v>
      </c>
      <c r="AZ178" s="691">
        <v>15385</v>
      </c>
      <c r="BA178" s="691">
        <v>15385</v>
      </c>
      <c r="BB178" s="691">
        <v>15347</v>
      </c>
      <c r="BC178" s="691">
        <v>15347</v>
      </c>
      <c r="BD178" s="691">
        <v>15347</v>
      </c>
      <c r="BE178" s="691">
        <v>13016</v>
      </c>
      <c r="BF178" s="691">
        <v>12909</v>
      </c>
      <c r="BG178" s="691">
        <v>12909</v>
      </c>
      <c r="BH178" s="691">
        <v>12512</v>
      </c>
      <c r="BI178" s="691">
        <v>12512</v>
      </c>
      <c r="BJ178" s="691">
        <v>12466</v>
      </c>
      <c r="BK178" s="691">
        <v>5209</v>
      </c>
      <c r="BL178" s="691">
        <v>5209</v>
      </c>
      <c r="BM178" s="691">
        <v>5209</v>
      </c>
      <c r="BN178" s="691">
        <v>5209</v>
      </c>
      <c r="BO178" s="691">
        <v>0</v>
      </c>
      <c r="BP178" s="691">
        <v>0</v>
      </c>
      <c r="BQ178" s="691">
        <v>0</v>
      </c>
      <c r="BR178" s="691">
        <v>0</v>
      </c>
      <c r="BS178" s="691">
        <v>0</v>
      </c>
      <c r="BT178" s="692">
        <v>0</v>
      </c>
    </row>
    <row r="179" spans="2:72" hidden="1" outlineLevel="1">
      <c r="B179" s="752"/>
      <c r="C179" s="752"/>
      <c r="D179" s="752" t="s">
        <v>672</v>
      </c>
      <c r="E179" s="752"/>
      <c r="F179" s="752"/>
      <c r="G179" s="752"/>
      <c r="H179" s="889">
        <v>2015</v>
      </c>
      <c r="I179" s="639" t="s">
        <v>572</v>
      </c>
      <c r="J179" s="639" t="s">
        <v>578</v>
      </c>
      <c r="K179" s="628"/>
      <c r="L179" s="690"/>
      <c r="M179" s="691"/>
      <c r="N179" s="691"/>
      <c r="O179" s="691"/>
      <c r="P179" s="691">
        <v>14</v>
      </c>
      <c r="Q179" s="691">
        <v>14</v>
      </c>
      <c r="R179" s="691">
        <v>14</v>
      </c>
      <c r="S179" s="691">
        <v>14</v>
      </c>
      <c r="T179" s="691">
        <v>14</v>
      </c>
      <c r="U179" s="691">
        <v>14</v>
      </c>
      <c r="V179" s="691">
        <v>14</v>
      </c>
      <c r="W179" s="691">
        <v>14</v>
      </c>
      <c r="X179" s="691">
        <v>14</v>
      </c>
      <c r="Y179" s="691">
        <v>14</v>
      </c>
      <c r="Z179" s="691">
        <v>14</v>
      </c>
      <c r="AA179" s="691">
        <v>14</v>
      </c>
      <c r="AB179" s="691">
        <v>14</v>
      </c>
      <c r="AC179" s="691">
        <v>14</v>
      </c>
      <c r="AD179" s="691">
        <v>14</v>
      </c>
      <c r="AE179" s="691">
        <v>14</v>
      </c>
      <c r="AF179" s="691">
        <v>14</v>
      </c>
      <c r="AG179" s="691">
        <v>14</v>
      </c>
      <c r="AH179" s="691">
        <v>13</v>
      </c>
      <c r="AI179" s="691">
        <v>0</v>
      </c>
      <c r="AJ179" s="691">
        <v>0</v>
      </c>
      <c r="AK179" s="691">
        <v>0</v>
      </c>
      <c r="AL179" s="691">
        <v>0</v>
      </c>
      <c r="AM179" s="691">
        <v>0</v>
      </c>
      <c r="AN179" s="691">
        <v>0</v>
      </c>
      <c r="AO179" s="692">
        <v>0</v>
      </c>
      <c r="AP179" s="628"/>
      <c r="AQ179" s="690"/>
      <c r="AR179" s="691"/>
      <c r="AS179" s="691"/>
      <c r="AT179" s="691"/>
      <c r="AU179" s="691">
        <v>27280</v>
      </c>
      <c r="AV179" s="691">
        <v>27280</v>
      </c>
      <c r="AW179" s="691">
        <v>27280</v>
      </c>
      <c r="AX179" s="691">
        <v>27280</v>
      </c>
      <c r="AY179" s="691">
        <v>27280</v>
      </c>
      <c r="AZ179" s="691">
        <v>27280</v>
      </c>
      <c r="BA179" s="691">
        <v>27280</v>
      </c>
      <c r="BB179" s="691">
        <v>27280</v>
      </c>
      <c r="BC179" s="691">
        <v>27280</v>
      </c>
      <c r="BD179" s="691">
        <v>27280</v>
      </c>
      <c r="BE179" s="691">
        <v>27280</v>
      </c>
      <c r="BF179" s="691">
        <v>27280</v>
      </c>
      <c r="BG179" s="691">
        <v>27280</v>
      </c>
      <c r="BH179" s="691">
        <v>27280</v>
      </c>
      <c r="BI179" s="691">
        <v>27280</v>
      </c>
      <c r="BJ179" s="691">
        <v>27280</v>
      </c>
      <c r="BK179" s="691">
        <v>27280</v>
      </c>
      <c r="BL179" s="691">
        <v>27280</v>
      </c>
      <c r="BM179" s="691">
        <v>26431</v>
      </c>
      <c r="BN179" s="691">
        <v>0</v>
      </c>
      <c r="BO179" s="691">
        <v>0</v>
      </c>
      <c r="BP179" s="691">
        <v>0</v>
      </c>
      <c r="BQ179" s="691">
        <v>0</v>
      </c>
      <c r="BR179" s="691">
        <v>0</v>
      </c>
      <c r="BS179" s="691">
        <v>0</v>
      </c>
      <c r="BT179" s="692">
        <v>0</v>
      </c>
    </row>
    <row r="180" spans="2:72" hidden="1" outlineLevel="1">
      <c r="B180" s="752"/>
      <c r="C180" s="752"/>
      <c r="D180" s="752" t="s">
        <v>98</v>
      </c>
      <c r="E180" s="752"/>
      <c r="F180" s="752"/>
      <c r="G180" s="752"/>
      <c r="H180" s="889">
        <v>2015</v>
      </c>
      <c r="I180" s="639" t="s">
        <v>572</v>
      </c>
      <c r="J180" s="639" t="s">
        <v>578</v>
      </c>
      <c r="K180" s="628"/>
      <c r="L180" s="690"/>
      <c r="M180" s="691"/>
      <c r="N180" s="691"/>
      <c r="O180" s="691"/>
      <c r="P180" s="691">
        <v>1</v>
      </c>
      <c r="Q180" s="691">
        <v>1</v>
      </c>
      <c r="R180" s="691">
        <v>1</v>
      </c>
      <c r="S180" s="691">
        <v>1</v>
      </c>
      <c r="T180" s="691">
        <v>1</v>
      </c>
      <c r="U180" s="691">
        <v>1</v>
      </c>
      <c r="V180" s="691">
        <v>1</v>
      </c>
      <c r="W180" s="691">
        <v>1</v>
      </c>
      <c r="X180" s="691">
        <v>1</v>
      </c>
      <c r="Y180" s="691">
        <v>1</v>
      </c>
      <c r="Z180" s="691">
        <v>1</v>
      </c>
      <c r="AA180" s="691">
        <v>1</v>
      </c>
      <c r="AB180" s="691">
        <v>1</v>
      </c>
      <c r="AC180" s="691">
        <v>1</v>
      </c>
      <c r="AD180" s="691">
        <v>1</v>
      </c>
      <c r="AE180" s="691">
        <v>1</v>
      </c>
      <c r="AF180" s="691">
        <v>1</v>
      </c>
      <c r="AG180" s="691">
        <v>1</v>
      </c>
      <c r="AH180" s="691">
        <v>1</v>
      </c>
      <c r="AI180" s="691">
        <v>1</v>
      </c>
      <c r="AJ180" s="691">
        <v>1</v>
      </c>
      <c r="AK180" s="691">
        <v>1</v>
      </c>
      <c r="AL180" s="691">
        <v>1</v>
      </c>
      <c r="AM180" s="691">
        <v>0</v>
      </c>
      <c r="AN180" s="691">
        <v>0</v>
      </c>
      <c r="AO180" s="692">
        <v>0</v>
      </c>
      <c r="AP180" s="628"/>
      <c r="AQ180" s="690"/>
      <c r="AR180" s="691"/>
      <c r="AS180" s="691"/>
      <c r="AT180" s="691"/>
      <c r="AU180" s="691">
        <v>16409</v>
      </c>
      <c r="AV180" s="691">
        <v>16409</v>
      </c>
      <c r="AW180" s="691">
        <v>16409</v>
      </c>
      <c r="AX180" s="691">
        <v>16409</v>
      </c>
      <c r="AY180" s="691">
        <v>16409</v>
      </c>
      <c r="AZ180" s="691">
        <v>16409</v>
      </c>
      <c r="BA180" s="691">
        <v>16409</v>
      </c>
      <c r="BB180" s="691">
        <v>16409</v>
      </c>
      <c r="BC180" s="691">
        <v>16409</v>
      </c>
      <c r="BD180" s="691">
        <v>16409</v>
      </c>
      <c r="BE180" s="691">
        <v>16386</v>
      </c>
      <c r="BF180" s="691">
        <v>16386</v>
      </c>
      <c r="BG180" s="691">
        <v>16386</v>
      </c>
      <c r="BH180" s="691">
        <v>16386</v>
      </c>
      <c r="BI180" s="691">
        <v>16386</v>
      </c>
      <c r="BJ180" s="691">
        <v>16386</v>
      </c>
      <c r="BK180" s="691">
        <v>11372</v>
      </c>
      <c r="BL180" s="691">
        <v>11372</v>
      </c>
      <c r="BM180" s="691">
        <v>11372</v>
      </c>
      <c r="BN180" s="691">
        <v>11372</v>
      </c>
      <c r="BO180" s="691">
        <v>11084</v>
      </c>
      <c r="BP180" s="691">
        <v>11084</v>
      </c>
      <c r="BQ180" s="691">
        <v>11084</v>
      </c>
      <c r="BR180" s="691">
        <v>0</v>
      </c>
      <c r="BS180" s="691">
        <v>0</v>
      </c>
      <c r="BT180" s="692">
        <v>0</v>
      </c>
    </row>
    <row r="181" spans="2:72" hidden="1" outlineLevel="1">
      <c r="B181" s="752"/>
      <c r="C181" s="752"/>
      <c r="D181" s="752" t="s">
        <v>99</v>
      </c>
      <c r="E181" s="752"/>
      <c r="F181" s="752"/>
      <c r="G181" s="752"/>
      <c r="H181" s="889">
        <v>2015</v>
      </c>
      <c r="I181" s="639" t="s">
        <v>572</v>
      </c>
      <c r="J181" s="639" t="s">
        <v>578</v>
      </c>
      <c r="K181" s="628"/>
      <c r="L181" s="690"/>
      <c r="M181" s="691"/>
      <c r="N181" s="691"/>
      <c r="O181" s="691"/>
      <c r="P181" s="691">
        <v>243</v>
      </c>
      <c r="Q181" s="691">
        <v>243</v>
      </c>
      <c r="R181" s="691">
        <v>243</v>
      </c>
      <c r="S181" s="691">
        <v>243</v>
      </c>
      <c r="T181" s="691">
        <v>277</v>
      </c>
      <c r="U181" s="691">
        <v>277</v>
      </c>
      <c r="V181" s="691">
        <v>277</v>
      </c>
      <c r="W181" s="691">
        <v>277</v>
      </c>
      <c r="X181" s="691">
        <v>277</v>
      </c>
      <c r="Y181" s="691">
        <v>277</v>
      </c>
      <c r="Z181" s="691">
        <v>277</v>
      </c>
      <c r="AA181" s="691">
        <v>277</v>
      </c>
      <c r="AB181" s="691">
        <v>277</v>
      </c>
      <c r="AC181" s="691">
        <v>194</v>
      </c>
      <c r="AD181" s="691">
        <v>0</v>
      </c>
      <c r="AE181" s="691">
        <v>0</v>
      </c>
      <c r="AF181" s="691">
        <v>0</v>
      </c>
      <c r="AG181" s="691">
        <v>0</v>
      </c>
      <c r="AH181" s="691">
        <v>0</v>
      </c>
      <c r="AI181" s="691">
        <v>0</v>
      </c>
      <c r="AJ181" s="691">
        <v>0</v>
      </c>
      <c r="AK181" s="691">
        <v>0</v>
      </c>
      <c r="AL181" s="691">
        <v>0</v>
      </c>
      <c r="AM181" s="691">
        <v>0</v>
      </c>
      <c r="AN181" s="691">
        <v>0</v>
      </c>
      <c r="AO181" s="692">
        <v>0</v>
      </c>
      <c r="AP181" s="628"/>
      <c r="AQ181" s="690"/>
      <c r="AR181" s="691"/>
      <c r="AS181" s="691"/>
      <c r="AT181" s="691"/>
      <c r="AU181" s="691">
        <v>1140998</v>
      </c>
      <c r="AV181" s="691">
        <v>1140998</v>
      </c>
      <c r="AW181" s="691">
        <v>1140998</v>
      </c>
      <c r="AX181" s="691">
        <v>1140998</v>
      </c>
      <c r="AY181" s="691">
        <v>1140998</v>
      </c>
      <c r="AZ181" s="691">
        <v>1140998</v>
      </c>
      <c r="BA181" s="691">
        <v>1140998</v>
      </c>
      <c r="BB181" s="691">
        <v>1140998</v>
      </c>
      <c r="BC181" s="691">
        <v>1140998</v>
      </c>
      <c r="BD181" s="691">
        <v>1140998</v>
      </c>
      <c r="BE181" s="691">
        <v>1140998</v>
      </c>
      <c r="BF181" s="691">
        <v>1140998</v>
      </c>
      <c r="BG181" s="691">
        <v>1140998</v>
      </c>
      <c r="BH181" s="691">
        <v>798698</v>
      </c>
      <c r="BI181" s="691">
        <v>0</v>
      </c>
      <c r="BJ181" s="691">
        <v>0</v>
      </c>
      <c r="BK181" s="691">
        <v>0</v>
      </c>
      <c r="BL181" s="691">
        <v>0</v>
      </c>
      <c r="BM181" s="691">
        <v>0</v>
      </c>
      <c r="BN181" s="691">
        <v>0</v>
      </c>
      <c r="BO181" s="691">
        <v>0</v>
      </c>
      <c r="BP181" s="691">
        <v>0</v>
      </c>
      <c r="BQ181" s="691">
        <v>0</v>
      </c>
      <c r="BR181" s="691">
        <v>0</v>
      </c>
      <c r="BS181" s="691">
        <v>0</v>
      </c>
      <c r="BT181" s="692">
        <v>0</v>
      </c>
    </row>
    <row r="182" spans="2:72" hidden="1" outlineLevel="1">
      <c r="B182" s="752"/>
      <c r="C182" s="752"/>
      <c r="D182" s="752" t="s">
        <v>100</v>
      </c>
      <c r="E182" s="752"/>
      <c r="F182" s="752"/>
      <c r="G182" s="752"/>
      <c r="H182" s="889">
        <v>2015</v>
      </c>
      <c r="I182" s="639" t="s">
        <v>572</v>
      </c>
      <c r="J182" s="639" t="s">
        <v>578</v>
      </c>
      <c r="K182" s="628"/>
      <c r="L182" s="690"/>
      <c r="M182" s="691"/>
      <c r="N182" s="691"/>
      <c r="O182" s="691"/>
      <c r="P182" s="691">
        <v>153</v>
      </c>
      <c r="Q182" s="691">
        <v>153</v>
      </c>
      <c r="R182" s="691">
        <v>153</v>
      </c>
      <c r="S182" s="691">
        <v>153</v>
      </c>
      <c r="T182" s="691">
        <v>153</v>
      </c>
      <c r="U182" s="691">
        <v>153</v>
      </c>
      <c r="V182" s="691">
        <v>148</v>
      </c>
      <c r="W182" s="691">
        <v>148</v>
      </c>
      <c r="X182" s="691">
        <v>113</v>
      </c>
      <c r="Y182" s="691">
        <v>93</v>
      </c>
      <c r="Z182" s="691">
        <v>55</v>
      </c>
      <c r="AA182" s="691">
        <v>28</v>
      </c>
      <c r="AB182" s="691">
        <v>24</v>
      </c>
      <c r="AC182" s="691">
        <v>24</v>
      </c>
      <c r="AD182" s="691">
        <v>24</v>
      </c>
      <c r="AE182" s="691">
        <v>22</v>
      </c>
      <c r="AF182" s="691">
        <v>15</v>
      </c>
      <c r="AG182" s="691">
        <v>15</v>
      </c>
      <c r="AH182" s="691">
        <v>15</v>
      </c>
      <c r="AI182" s="691">
        <v>15</v>
      </c>
      <c r="AJ182" s="691">
        <v>0</v>
      </c>
      <c r="AK182" s="691">
        <v>0</v>
      </c>
      <c r="AL182" s="691">
        <v>0</v>
      </c>
      <c r="AM182" s="691">
        <v>0</v>
      </c>
      <c r="AN182" s="691">
        <v>0</v>
      </c>
      <c r="AO182" s="692">
        <v>0</v>
      </c>
      <c r="AP182" s="628"/>
      <c r="AQ182" s="690"/>
      <c r="AR182" s="691"/>
      <c r="AS182" s="691"/>
      <c r="AT182" s="691"/>
      <c r="AU182" s="691">
        <v>1020465</v>
      </c>
      <c r="AV182" s="691">
        <v>1020465</v>
      </c>
      <c r="AW182" s="691">
        <v>1020465</v>
      </c>
      <c r="AX182" s="691">
        <v>1020465</v>
      </c>
      <c r="AY182" s="691">
        <v>1020465</v>
      </c>
      <c r="AZ182" s="691">
        <v>1020465</v>
      </c>
      <c r="BA182" s="691">
        <v>982395</v>
      </c>
      <c r="BB182" s="691">
        <v>982395</v>
      </c>
      <c r="BC182" s="691">
        <v>804303</v>
      </c>
      <c r="BD182" s="691">
        <v>594017</v>
      </c>
      <c r="BE182" s="691">
        <v>306992</v>
      </c>
      <c r="BF182" s="691">
        <v>134988</v>
      </c>
      <c r="BG182" s="691">
        <v>91034</v>
      </c>
      <c r="BH182" s="691">
        <v>91034</v>
      </c>
      <c r="BI182" s="691">
        <v>91034</v>
      </c>
      <c r="BJ182" s="691">
        <v>75139</v>
      </c>
      <c r="BK182" s="691">
        <v>17007</v>
      </c>
      <c r="BL182" s="691">
        <v>17007</v>
      </c>
      <c r="BM182" s="691">
        <v>17007</v>
      </c>
      <c r="BN182" s="691">
        <v>17007</v>
      </c>
      <c r="BO182" s="691">
        <v>0</v>
      </c>
      <c r="BP182" s="691">
        <v>0</v>
      </c>
      <c r="BQ182" s="691">
        <v>0</v>
      </c>
      <c r="BR182" s="691">
        <v>0</v>
      </c>
      <c r="BS182" s="691">
        <v>0</v>
      </c>
      <c r="BT182" s="692">
        <v>0</v>
      </c>
    </row>
    <row r="183" spans="2:72" hidden="1" outlineLevel="1">
      <c r="B183" s="752"/>
      <c r="C183" s="752"/>
      <c r="D183" s="752" t="s">
        <v>118</v>
      </c>
      <c r="E183" s="752"/>
      <c r="F183" s="752"/>
      <c r="G183" s="752"/>
      <c r="H183" s="889">
        <v>2015</v>
      </c>
      <c r="I183" s="639" t="s">
        <v>572</v>
      </c>
      <c r="J183" s="639" t="s">
        <v>578</v>
      </c>
      <c r="K183" s="628"/>
      <c r="L183" s="690"/>
      <c r="M183" s="691"/>
      <c r="N183" s="691"/>
      <c r="O183" s="691"/>
      <c r="P183" s="691">
        <v>60</v>
      </c>
      <c r="Q183" s="691">
        <v>60</v>
      </c>
      <c r="R183" s="691">
        <v>60</v>
      </c>
      <c r="S183" s="691">
        <v>60</v>
      </c>
      <c r="T183" s="691">
        <v>60</v>
      </c>
      <c r="U183" s="691">
        <v>60</v>
      </c>
      <c r="V183" s="691">
        <v>56</v>
      </c>
      <c r="W183" s="691">
        <v>56</v>
      </c>
      <c r="X183" s="691">
        <v>56</v>
      </c>
      <c r="Y183" s="691">
        <v>41</v>
      </c>
      <c r="Z183" s="691">
        <v>7</v>
      </c>
      <c r="AA183" s="691">
        <v>7</v>
      </c>
      <c r="AB183" s="691">
        <v>0</v>
      </c>
      <c r="AC183" s="691">
        <v>0</v>
      </c>
      <c r="AD183" s="691">
        <v>0</v>
      </c>
      <c r="AE183" s="691">
        <v>0</v>
      </c>
      <c r="AF183" s="691">
        <v>0</v>
      </c>
      <c r="AG183" s="691">
        <v>0</v>
      </c>
      <c r="AH183" s="691">
        <v>0</v>
      </c>
      <c r="AI183" s="691">
        <v>0</v>
      </c>
      <c r="AJ183" s="691">
        <v>0</v>
      </c>
      <c r="AK183" s="691">
        <v>0</v>
      </c>
      <c r="AL183" s="691">
        <v>0</v>
      </c>
      <c r="AM183" s="691">
        <v>0</v>
      </c>
      <c r="AN183" s="691">
        <v>0</v>
      </c>
      <c r="AO183" s="692">
        <v>0</v>
      </c>
      <c r="AP183" s="628"/>
      <c r="AQ183" s="690"/>
      <c r="AR183" s="691"/>
      <c r="AS183" s="691"/>
      <c r="AT183" s="691"/>
      <c r="AU183" s="691">
        <v>297205</v>
      </c>
      <c r="AV183" s="691">
        <v>297205</v>
      </c>
      <c r="AW183" s="691">
        <v>297205</v>
      </c>
      <c r="AX183" s="691">
        <v>297205</v>
      </c>
      <c r="AY183" s="691">
        <v>297205</v>
      </c>
      <c r="AZ183" s="691">
        <v>297205</v>
      </c>
      <c r="BA183" s="691">
        <v>275856</v>
      </c>
      <c r="BB183" s="691">
        <v>275856</v>
      </c>
      <c r="BC183" s="691">
        <v>275856</v>
      </c>
      <c r="BD183" s="691">
        <v>208436</v>
      </c>
      <c r="BE183" s="691">
        <v>47457</v>
      </c>
      <c r="BF183" s="691">
        <v>47457</v>
      </c>
      <c r="BG183" s="691"/>
      <c r="BH183" s="691"/>
      <c r="BI183" s="691"/>
      <c r="BJ183" s="691"/>
      <c r="BK183" s="691"/>
      <c r="BL183" s="691"/>
      <c r="BM183" s="691"/>
      <c r="BN183" s="691"/>
      <c r="BO183" s="691"/>
      <c r="BP183" s="691"/>
      <c r="BQ183" s="691"/>
      <c r="BR183" s="691"/>
      <c r="BS183" s="691"/>
      <c r="BT183" s="692"/>
    </row>
    <row r="184" spans="2:72" hidden="1" outlineLevel="1">
      <c r="B184" s="752"/>
      <c r="C184" s="752"/>
      <c r="D184" s="752" t="s">
        <v>113</v>
      </c>
      <c r="E184" s="752"/>
      <c r="F184" s="752"/>
      <c r="G184" s="752"/>
      <c r="H184" s="889">
        <v>2016</v>
      </c>
      <c r="I184" s="639" t="s">
        <v>572</v>
      </c>
      <c r="J184" s="639" t="s">
        <v>585</v>
      </c>
      <c r="K184" s="628"/>
      <c r="L184" s="690"/>
      <c r="M184" s="691"/>
      <c r="N184" s="691"/>
      <c r="O184" s="691"/>
      <c r="P184" s="691">
        <v>0</v>
      </c>
      <c r="Q184" s="691">
        <v>415</v>
      </c>
      <c r="R184" s="691">
        <v>415</v>
      </c>
      <c r="S184" s="691">
        <v>415</v>
      </c>
      <c r="T184" s="691">
        <v>415</v>
      </c>
      <c r="U184" s="691">
        <v>415</v>
      </c>
      <c r="V184" s="691">
        <v>415</v>
      </c>
      <c r="W184" s="691">
        <v>415</v>
      </c>
      <c r="X184" s="691">
        <v>415</v>
      </c>
      <c r="Y184" s="691">
        <v>415</v>
      </c>
      <c r="Z184" s="691">
        <v>413</v>
      </c>
      <c r="AA184" s="691">
        <v>399</v>
      </c>
      <c r="AB184" s="691">
        <v>399</v>
      </c>
      <c r="AC184" s="691">
        <v>399</v>
      </c>
      <c r="AD184" s="691">
        <v>399</v>
      </c>
      <c r="AE184" s="691">
        <v>346</v>
      </c>
      <c r="AF184" s="691">
        <v>346</v>
      </c>
      <c r="AG184" s="691">
        <v>149</v>
      </c>
      <c r="AH184" s="691">
        <v>0</v>
      </c>
      <c r="AI184" s="691">
        <v>0</v>
      </c>
      <c r="AJ184" s="691">
        <v>0</v>
      </c>
      <c r="AK184" s="691">
        <v>0</v>
      </c>
      <c r="AL184" s="691">
        <v>0</v>
      </c>
      <c r="AM184" s="691">
        <v>0</v>
      </c>
      <c r="AN184" s="691">
        <v>0</v>
      </c>
      <c r="AO184" s="692">
        <v>0</v>
      </c>
      <c r="AP184" s="628"/>
      <c r="AQ184" s="690"/>
      <c r="AR184" s="691"/>
      <c r="AS184" s="691"/>
      <c r="AT184" s="691"/>
      <c r="AU184" s="691"/>
      <c r="AV184" s="691">
        <v>6390167</v>
      </c>
      <c r="AW184" s="691">
        <v>6390167</v>
      </c>
      <c r="AX184" s="691">
        <v>6390167</v>
      </c>
      <c r="AY184" s="691">
        <v>6390167</v>
      </c>
      <c r="AZ184" s="691">
        <v>6390167</v>
      </c>
      <c r="BA184" s="691">
        <v>6390167</v>
      </c>
      <c r="BB184" s="691">
        <v>6390167</v>
      </c>
      <c r="BC184" s="691">
        <v>6389208</v>
      </c>
      <c r="BD184" s="691">
        <v>6389208</v>
      </c>
      <c r="BE184" s="691">
        <v>6360739</v>
      </c>
      <c r="BF184" s="691">
        <v>6283135</v>
      </c>
      <c r="BG184" s="691">
        <v>6279394</v>
      </c>
      <c r="BH184" s="691">
        <v>6279394</v>
      </c>
      <c r="BI184" s="691">
        <v>6245658</v>
      </c>
      <c r="BJ184" s="691">
        <v>5408153</v>
      </c>
      <c r="BK184" s="691">
        <v>5408153</v>
      </c>
      <c r="BL184" s="691">
        <v>2379310</v>
      </c>
      <c r="BM184" s="691">
        <v>0</v>
      </c>
      <c r="BN184" s="691">
        <v>0</v>
      </c>
      <c r="BO184" s="691">
        <v>0</v>
      </c>
      <c r="BP184" s="691">
        <v>0</v>
      </c>
      <c r="BQ184" s="691">
        <v>0</v>
      </c>
      <c r="BR184" s="691">
        <v>0</v>
      </c>
      <c r="BS184" s="691">
        <v>0</v>
      </c>
      <c r="BT184" s="692">
        <v>0</v>
      </c>
    </row>
    <row r="185" spans="2:72" hidden="1" outlineLevel="1">
      <c r="B185" s="752"/>
      <c r="C185" s="752"/>
      <c r="D185" s="752" t="s">
        <v>765</v>
      </c>
      <c r="E185" s="752"/>
      <c r="F185" s="752"/>
      <c r="G185" s="752"/>
      <c r="H185" s="889">
        <v>2016</v>
      </c>
      <c r="I185" s="639" t="s">
        <v>572</v>
      </c>
      <c r="J185" s="639" t="s">
        <v>585</v>
      </c>
      <c r="K185" s="628"/>
      <c r="L185" s="690"/>
      <c r="M185" s="691"/>
      <c r="N185" s="691"/>
      <c r="O185" s="691"/>
      <c r="P185" s="691">
        <v>0</v>
      </c>
      <c r="Q185" s="691">
        <v>638</v>
      </c>
      <c r="R185" s="691">
        <v>638</v>
      </c>
      <c r="S185" s="691">
        <v>638</v>
      </c>
      <c r="T185" s="691">
        <v>638</v>
      </c>
      <c r="U185" s="691">
        <v>638</v>
      </c>
      <c r="V185" s="691">
        <v>638</v>
      </c>
      <c r="W185" s="691">
        <v>638</v>
      </c>
      <c r="X185" s="691">
        <v>638</v>
      </c>
      <c r="Y185" s="691">
        <v>638</v>
      </c>
      <c r="Z185" s="691">
        <v>638</v>
      </c>
      <c r="AA185" s="691">
        <v>638</v>
      </c>
      <c r="AB185" s="691">
        <v>638</v>
      </c>
      <c r="AC185" s="691">
        <v>638</v>
      </c>
      <c r="AD185" s="691">
        <v>638</v>
      </c>
      <c r="AE185" s="691">
        <v>638</v>
      </c>
      <c r="AF185" s="691">
        <v>638</v>
      </c>
      <c r="AG185" s="691">
        <v>638</v>
      </c>
      <c r="AH185" s="691">
        <v>638</v>
      </c>
      <c r="AI185" s="691">
        <v>585</v>
      </c>
      <c r="AJ185" s="691">
        <v>0</v>
      </c>
      <c r="AK185" s="691">
        <v>0</v>
      </c>
      <c r="AL185" s="691">
        <v>0</v>
      </c>
      <c r="AM185" s="691">
        <v>0</v>
      </c>
      <c r="AN185" s="691">
        <v>0</v>
      </c>
      <c r="AO185" s="692">
        <v>0</v>
      </c>
      <c r="AP185" s="628"/>
      <c r="AQ185" s="690"/>
      <c r="AR185" s="691"/>
      <c r="AS185" s="691"/>
      <c r="AT185" s="691"/>
      <c r="AU185" s="691"/>
      <c r="AV185" s="691">
        <v>2168096</v>
      </c>
      <c r="AW185" s="691">
        <v>2168096</v>
      </c>
      <c r="AX185" s="691">
        <v>2168096</v>
      </c>
      <c r="AY185" s="691">
        <v>2168096</v>
      </c>
      <c r="AZ185" s="691">
        <v>2168096</v>
      </c>
      <c r="BA185" s="691">
        <v>2168096</v>
      </c>
      <c r="BB185" s="691">
        <v>2168096</v>
      </c>
      <c r="BC185" s="691">
        <v>2168096</v>
      </c>
      <c r="BD185" s="691">
        <v>2168096</v>
      </c>
      <c r="BE185" s="691">
        <v>2168096</v>
      </c>
      <c r="BF185" s="691">
        <v>2168096</v>
      </c>
      <c r="BG185" s="691">
        <v>2168096</v>
      </c>
      <c r="BH185" s="691">
        <v>2168096</v>
      </c>
      <c r="BI185" s="691">
        <v>2168096</v>
      </c>
      <c r="BJ185" s="691">
        <v>2168096</v>
      </c>
      <c r="BK185" s="691">
        <v>2168096</v>
      </c>
      <c r="BL185" s="691">
        <v>2168096</v>
      </c>
      <c r="BM185" s="691">
        <v>2168096</v>
      </c>
      <c r="BN185" s="691">
        <v>2120269</v>
      </c>
      <c r="BO185" s="691">
        <v>0</v>
      </c>
      <c r="BP185" s="691">
        <v>0</v>
      </c>
      <c r="BQ185" s="691">
        <v>0</v>
      </c>
      <c r="BR185" s="691">
        <v>0</v>
      </c>
      <c r="BS185" s="691">
        <v>0</v>
      </c>
      <c r="BT185" s="692">
        <v>0</v>
      </c>
    </row>
    <row r="186" spans="2:72" hidden="1" outlineLevel="1">
      <c r="B186" s="752"/>
      <c r="C186" s="752"/>
      <c r="D186" s="752" t="s">
        <v>118</v>
      </c>
      <c r="E186" s="752"/>
      <c r="F186" s="752"/>
      <c r="G186" s="752"/>
      <c r="H186" s="889">
        <v>2016</v>
      </c>
      <c r="I186" s="639" t="s">
        <v>572</v>
      </c>
      <c r="J186" s="639" t="s">
        <v>585</v>
      </c>
      <c r="K186" s="628"/>
      <c r="L186" s="690"/>
      <c r="M186" s="691"/>
      <c r="N186" s="691"/>
      <c r="O186" s="691"/>
      <c r="P186" s="691">
        <v>0</v>
      </c>
      <c r="Q186" s="691">
        <v>820</v>
      </c>
      <c r="R186" s="691">
        <v>798</v>
      </c>
      <c r="S186" s="691">
        <v>798</v>
      </c>
      <c r="T186" s="691">
        <v>798</v>
      </c>
      <c r="U186" s="691">
        <v>798</v>
      </c>
      <c r="V186" s="691">
        <v>798</v>
      </c>
      <c r="W186" s="691">
        <v>798</v>
      </c>
      <c r="X186" s="691">
        <v>798</v>
      </c>
      <c r="Y186" s="691">
        <v>795</v>
      </c>
      <c r="Z186" s="691">
        <v>795</v>
      </c>
      <c r="AA186" s="691">
        <v>792</v>
      </c>
      <c r="AB186" s="691">
        <v>621</v>
      </c>
      <c r="AC186" s="691">
        <v>347</v>
      </c>
      <c r="AD186" s="691">
        <v>347</v>
      </c>
      <c r="AE186" s="691">
        <v>190</v>
      </c>
      <c r="AF186" s="691">
        <v>9</v>
      </c>
      <c r="AG186" s="691">
        <v>9</v>
      </c>
      <c r="AH186" s="691">
        <v>9</v>
      </c>
      <c r="AI186" s="691">
        <v>9</v>
      </c>
      <c r="AJ186" s="691">
        <v>9</v>
      </c>
      <c r="AK186" s="691">
        <v>0</v>
      </c>
      <c r="AL186" s="691">
        <v>0</v>
      </c>
      <c r="AM186" s="691">
        <v>0</v>
      </c>
      <c r="AN186" s="691">
        <v>0</v>
      </c>
      <c r="AO186" s="692">
        <v>0</v>
      </c>
      <c r="AP186" s="628"/>
      <c r="AQ186" s="690"/>
      <c r="AR186" s="691"/>
      <c r="AS186" s="691"/>
      <c r="AT186" s="691"/>
      <c r="AU186" s="691"/>
      <c r="AV186" s="691">
        <v>5736308</v>
      </c>
      <c r="AW186" s="691">
        <v>5625068</v>
      </c>
      <c r="AX186" s="691">
        <v>5625068</v>
      </c>
      <c r="AY186" s="691">
        <v>5625068</v>
      </c>
      <c r="AZ186" s="691">
        <v>5625068</v>
      </c>
      <c r="BA186" s="691">
        <v>5624198</v>
      </c>
      <c r="BB186" s="691">
        <v>5624198</v>
      </c>
      <c r="BC186" s="691">
        <v>5624198</v>
      </c>
      <c r="BD186" s="691">
        <v>5600646</v>
      </c>
      <c r="BE186" s="691">
        <v>5600646</v>
      </c>
      <c r="BF186" s="691">
        <v>5557943</v>
      </c>
      <c r="BG186" s="691">
        <v>4605681</v>
      </c>
      <c r="BH186" s="691">
        <v>1933598</v>
      </c>
      <c r="BI186" s="691">
        <v>1933598</v>
      </c>
      <c r="BJ186" s="691">
        <v>599432</v>
      </c>
      <c r="BK186" s="691">
        <v>7557</v>
      </c>
      <c r="BL186" s="691">
        <v>7557</v>
      </c>
      <c r="BM186" s="691">
        <v>7557</v>
      </c>
      <c r="BN186" s="691">
        <v>7557</v>
      </c>
      <c r="BO186" s="691">
        <v>7557</v>
      </c>
      <c r="BP186" s="691">
        <v>0</v>
      </c>
      <c r="BQ186" s="691">
        <v>0</v>
      </c>
      <c r="BR186" s="691">
        <v>0</v>
      </c>
      <c r="BS186" s="691">
        <v>0</v>
      </c>
      <c r="BT186" s="692">
        <v>0</v>
      </c>
    </row>
    <row r="187" spans="2:72" hidden="1" outlineLevel="1">
      <c r="B187" s="752"/>
      <c r="C187" s="752"/>
      <c r="D187" s="752" t="s">
        <v>766</v>
      </c>
      <c r="E187" s="752"/>
      <c r="F187" s="752"/>
      <c r="G187" s="752"/>
      <c r="H187" s="889">
        <v>2016</v>
      </c>
      <c r="I187" s="639" t="s">
        <v>572</v>
      </c>
      <c r="J187" s="639" t="s">
        <v>585</v>
      </c>
      <c r="K187" s="628"/>
      <c r="L187" s="690"/>
      <c r="M187" s="691"/>
      <c r="N187" s="691"/>
      <c r="O187" s="691"/>
      <c r="P187" s="691"/>
      <c r="Q187" s="691"/>
      <c r="R187" s="691"/>
      <c r="S187" s="691"/>
      <c r="T187" s="691"/>
      <c r="U187" s="691"/>
      <c r="V187" s="691"/>
      <c r="W187" s="691"/>
      <c r="X187" s="691"/>
      <c r="Y187" s="691"/>
      <c r="Z187" s="691"/>
      <c r="AA187" s="691"/>
      <c r="AB187" s="691"/>
      <c r="AC187" s="691"/>
      <c r="AD187" s="691"/>
      <c r="AE187" s="691"/>
      <c r="AF187" s="691"/>
      <c r="AG187" s="691"/>
      <c r="AH187" s="691"/>
      <c r="AI187" s="691"/>
      <c r="AJ187" s="691"/>
      <c r="AK187" s="691"/>
      <c r="AL187" s="691"/>
      <c r="AM187" s="691"/>
      <c r="AN187" s="691"/>
      <c r="AO187" s="692"/>
      <c r="AP187" s="628"/>
      <c r="AQ187" s="690"/>
      <c r="AR187" s="691"/>
      <c r="AS187" s="691"/>
      <c r="AT187" s="691"/>
      <c r="AU187" s="691"/>
      <c r="AV187" s="691">
        <v>1212</v>
      </c>
      <c r="AW187" s="691">
        <v>1212</v>
      </c>
      <c r="AX187" s="691">
        <v>1212</v>
      </c>
      <c r="AY187" s="691">
        <v>1212</v>
      </c>
      <c r="AZ187" s="691">
        <v>1212</v>
      </c>
      <c r="BA187" s="691">
        <v>1212</v>
      </c>
      <c r="BB187" s="691">
        <v>1212</v>
      </c>
      <c r="BC187" s="691">
        <v>1212</v>
      </c>
      <c r="BD187" s="691">
        <v>1212</v>
      </c>
      <c r="BE187" s="691">
        <v>1212</v>
      </c>
      <c r="BF187" s="691">
        <v>1212</v>
      </c>
      <c r="BG187" s="691">
        <v>1212</v>
      </c>
      <c r="BH187" s="691">
        <v>1212</v>
      </c>
      <c r="BI187" s="691">
        <v>1212</v>
      </c>
      <c r="BJ187" s="691">
        <v>858</v>
      </c>
      <c r="BK187" s="691">
        <v>858</v>
      </c>
      <c r="BL187" s="691">
        <v>858</v>
      </c>
      <c r="BM187" s="691">
        <v>858</v>
      </c>
      <c r="BN187" s="691">
        <v>0</v>
      </c>
      <c r="BO187" s="691">
        <v>0</v>
      </c>
      <c r="BP187" s="691">
        <v>0</v>
      </c>
      <c r="BQ187" s="691">
        <v>0</v>
      </c>
      <c r="BR187" s="691">
        <v>0</v>
      </c>
      <c r="BS187" s="691">
        <v>0</v>
      </c>
      <c r="BT187" s="692">
        <v>0</v>
      </c>
    </row>
    <row r="188" spans="2:72" hidden="1" outlineLevel="1">
      <c r="B188" s="752"/>
      <c r="C188" s="752"/>
      <c r="D188" s="752" t="s">
        <v>113</v>
      </c>
      <c r="E188" s="752"/>
      <c r="F188" s="752"/>
      <c r="G188" s="752"/>
      <c r="H188" s="889">
        <v>2016</v>
      </c>
      <c r="I188" s="639" t="s">
        <v>573</v>
      </c>
      <c r="J188" s="639" t="s">
        <v>578</v>
      </c>
      <c r="K188" s="628"/>
      <c r="L188" s="690"/>
      <c r="M188" s="691"/>
      <c r="N188" s="691"/>
      <c r="O188" s="691"/>
      <c r="P188" s="691">
        <v>0</v>
      </c>
      <c r="Q188" s="691">
        <v>45</v>
      </c>
      <c r="R188" s="691">
        <v>45</v>
      </c>
      <c r="S188" s="691">
        <v>45</v>
      </c>
      <c r="T188" s="691">
        <v>45</v>
      </c>
      <c r="U188" s="691">
        <v>45</v>
      </c>
      <c r="V188" s="691">
        <v>45</v>
      </c>
      <c r="W188" s="691">
        <v>45</v>
      </c>
      <c r="X188" s="691">
        <v>45</v>
      </c>
      <c r="Y188" s="691">
        <v>45</v>
      </c>
      <c r="Z188" s="691">
        <v>45</v>
      </c>
      <c r="AA188" s="691">
        <v>46</v>
      </c>
      <c r="AB188" s="691">
        <v>46</v>
      </c>
      <c r="AC188" s="691">
        <v>46</v>
      </c>
      <c r="AD188" s="691">
        <v>46</v>
      </c>
      <c r="AE188" s="691">
        <v>40</v>
      </c>
      <c r="AF188" s="691">
        <v>40</v>
      </c>
      <c r="AG188" s="691">
        <v>16</v>
      </c>
      <c r="AH188" s="691">
        <v>0</v>
      </c>
      <c r="AI188" s="691">
        <v>0</v>
      </c>
      <c r="AJ188" s="691">
        <v>0</v>
      </c>
      <c r="AK188" s="691">
        <v>0</v>
      </c>
      <c r="AL188" s="691">
        <v>0</v>
      </c>
      <c r="AM188" s="691">
        <v>0</v>
      </c>
      <c r="AN188" s="691">
        <v>0</v>
      </c>
      <c r="AO188" s="692">
        <v>0</v>
      </c>
      <c r="AP188" s="628"/>
      <c r="AQ188" s="690">
        <v>0</v>
      </c>
      <c r="AR188" s="691">
        <v>0</v>
      </c>
      <c r="AS188" s="691">
        <v>0</v>
      </c>
      <c r="AT188" s="691">
        <v>0</v>
      </c>
      <c r="AU188" s="691">
        <v>0</v>
      </c>
      <c r="AV188" s="691">
        <v>712526</v>
      </c>
      <c r="AW188" s="691">
        <v>712526</v>
      </c>
      <c r="AX188" s="691">
        <v>712526</v>
      </c>
      <c r="AY188" s="691">
        <v>712526</v>
      </c>
      <c r="AZ188" s="691">
        <v>712526</v>
      </c>
      <c r="BA188" s="691">
        <v>712526</v>
      </c>
      <c r="BB188" s="691">
        <v>712526</v>
      </c>
      <c r="BC188" s="691">
        <v>712463</v>
      </c>
      <c r="BD188" s="691">
        <v>712463</v>
      </c>
      <c r="BE188" s="691">
        <v>713517</v>
      </c>
      <c r="BF188" s="691">
        <v>713810</v>
      </c>
      <c r="BG188" s="691">
        <v>714477</v>
      </c>
      <c r="BH188" s="691">
        <v>714477</v>
      </c>
      <c r="BI188" s="691">
        <v>712582</v>
      </c>
      <c r="BJ188" s="691">
        <v>616722</v>
      </c>
      <c r="BK188" s="691">
        <v>616722</v>
      </c>
      <c r="BL188" s="691">
        <v>254281</v>
      </c>
      <c r="BM188" s="691">
        <v>0</v>
      </c>
      <c r="BN188" s="691">
        <v>0</v>
      </c>
      <c r="BO188" s="691">
        <v>0</v>
      </c>
      <c r="BP188" s="691">
        <v>0</v>
      </c>
      <c r="BQ188" s="691">
        <v>0</v>
      </c>
      <c r="BR188" s="691">
        <v>0</v>
      </c>
      <c r="BS188" s="691">
        <v>0</v>
      </c>
      <c r="BT188" s="692">
        <v>0</v>
      </c>
    </row>
    <row r="189" spans="2:72" hidden="1" outlineLevel="1">
      <c r="B189" s="752"/>
      <c r="C189" s="752"/>
      <c r="D189" s="752" t="s">
        <v>765</v>
      </c>
      <c r="E189" s="752"/>
      <c r="F189" s="752"/>
      <c r="G189" s="752"/>
      <c r="H189" s="889">
        <v>2016</v>
      </c>
      <c r="I189" s="639" t="s">
        <v>573</v>
      </c>
      <c r="J189" s="639" t="s">
        <v>578</v>
      </c>
      <c r="K189" s="628"/>
      <c r="L189" s="690"/>
      <c r="M189" s="691"/>
      <c r="N189" s="691"/>
      <c r="O189" s="691"/>
      <c r="P189" s="691">
        <v>0</v>
      </c>
      <c r="Q189" s="691">
        <v>7</v>
      </c>
      <c r="R189" s="691">
        <v>7</v>
      </c>
      <c r="S189" s="691">
        <v>7</v>
      </c>
      <c r="T189" s="691">
        <v>7</v>
      </c>
      <c r="U189" s="691">
        <v>7</v>
      </c>
      <c r="V189" s="691">
        <v>7</v>
      </c>
      <c r="W189" s="691">
        <v>7</v>
      </c>
      <c r="X189" s="691">
        <v>7</v>
      </c>
      <c r="Y189" s="691">
        <v>7</v>
      </c>
      <c r="Z189" s="691">
        <v>7</v>
      </c>
      <c r="AA189" s="691">
        <v>7</v>
      </c>
      <c r="AB189" s="691">
        <v>7</v>
      </c>
      <c r="AC189" s="691">
        <v>7</v>
      </c>
      <c r="AD189" s="691">
        <v>7</v>
      </c>
      <c r="AE189" s="691">
        <v>7</v>
      </c>
      <c r="AF189" s="691">
        <v>7</v>
      </c>
      <c r="AG189" s="691">
        <v>7</v>
      </c>
      <c r="AH189" s="691">
        <v>7</v>
      </c>
      <c r="AI189" s="691">
        <v>6</v>
      </c>
      <c r="AJ189" s="691">
        <v>0</v>
      </c>
      <c r="AK189" s="691">
        <v>0</v>
      </c>
      <c r="AL189" s="691">
        <v>0</v>
      </c>
      <c r="AM189" s="691">
        <v>0</v>
      </c>
      <c r="AN189" s="691">
        <v>0</v>
      </c>
      <c r="AO189" s="692">
        <v>0</v>
      </c>
      <c r="AP189" s="628"/>
      <c r="AQ189" s="690">
        <v>0</v>
      </c>
      <c r="AR189" s="691">
        <v>0</v>
      </c>
      <c r="AS189" s="691">
        <v>0</v>
      </c>
      <c r="AT189" s="691">
        <v>0</v>
      </c>
      <c r="AU189" s="691">
        <v>0</v>
      </c>
      <c r="AV189" s="691">
        <v>22419</v>
      </c>
      <c r="AW189" s="691">
        <v>22419</v>
      </c>
      <c r="AX189" s="691">
        <v>22419</v>
      </c>
      <c r="AY189" s="691">
        <v>22419</v>
      </c>
      <c r="AZ189" s="691">
        <v>22419</v>
      </c>
      <c r="BA189" s="691">
        <v>22419</v>
      </c>
      <c r="BB189" s="691">
        <v>22419</v>
      </c>
      <c r="BC189" s="691">
        <v>22419</v>
      </c>
      <c r="BD189" s="691">
        <v>22419</v>
      </c>
      <c r="BE189" s="691">
        <v>22419</v>
      </c>
      <c r="BF189" s="691">
        <v>22419</v>
      </c>
      <c r="BG189" s="691">
        <v>22419</v>
      </c>
      <c r="BH189" s="691">
        <v>22419</v>
      </c>
      <c r="BI189" s="691">
        <v>22419</v>
      </c>
      <c r="BJ189" s="691">
        <v>22419</v>
      </c>
      <c r="BK189" s="691">
        <v>22419</v>
      </c>
      <c r="BL189" s="691">
        <v>22419</v>
      </c>
      <c r="BM189" s="691">
        <v>22419</v>
      </c>
      <c r="BN189" s="691">
        <v>22005</v>
      </c>
      <c r="BO189" s="691">
        <v>0</v>
      </c>
      <c r="BP189" s="691">
        <v>0</v>
      </c>
      <c r="BQ189" s="691">
        <v>0</v>
      </c>
      <c r="BR189" s="691">
        <v>0</v>
      </c>
      <c r="BS189" s="691">
        <v>0</v>
      </c>
      <c r="BT189" s="692">
        <v>0</v>
      </c>
    </row>
    <row r="190" spans="2:72" hidden="1" outlineLevel="1">
      <c r="B190" s="752"/>
      <c r="C190" s="752"/>
      <c r="D190" s="752" t="s">
        <v>115</v>
      </c>
      <c r="E190" s="752"/>
      <c r="F190" s="752"/>
      <c r="G190" s="752"/>
      <c r="H190" s="889">
        <v>2016</v>
      </c>
      <c r="I190" s="639" t="s">
        <v>573</v>
      </c>
      <c r="J190" s="639" t="s">
        <v>578</v>
      </c>
      <c r="K190" s="628"/>
      <c r="L190" s="690"/>
      <c r="M190" s="691"/>
      <c r="N190" s="691"/>
      <c r="O190" s="691"/>
      <c r="P190" s="691">
        <v>0</v>
      </c>
      <c r="Q190" s="691">
        <v>11</v>
      </c>
      <c r="R190" s="691">
        <v>11</v>
      </c>
      <c r="S190" s="691">
        <v>11</v>
      </c>
      <c r="T190" s="691">
        <v>11</v>
      </c>
      <c r="U190" s="691">
        <v>11</v>
      </c>
      <c r="V190" s="691">
        <v>11</v>
      </c>
      <c r="W190" s="691">
        <v>11</v>
      </c>
      <c r="X190" s="691">
        <v>11</v>
      </c>
      <c r="Y190" s="691">
        <v>11</v>
      </c>
      <c r="Z190" s="691">
        <v>11</v>
      </c>
      <c r="AA190" s="691">
        <v>11</v>
      </c>
      <c r="AB190" s="691">
        <v>11</v>
      </c>
      <c r="AC190" s="691">
        <v>11</v>
      </c>
      <c r="AD190" s="691">
        <v>11</v>
      </c>
      <c r="AE190" s="691">
        <v>11</v>
      </c>
      <c r="AF190" s="691">
        <v>1</v>
      </c>
      <c r="AG190" s="691">
        <v>0</v>
      </c>
      <c r="AH190" s="691">
        <v>0</v>
      </c>
      <c r="AI190" s="691">
        <v>0</v>
      </c>
      <c r="AJ190" s="691">
        <v>0</v>
      </c>
      <c r="AK190" s="691">
        <v>0</v>
      </c>
      <c r="AL190" s="691">
        <v>0</v>
      </c>
      <c r="AM190" s="691">
        <v>0</v>
      </c>
      <c r="AN190" s="691">
        <v>0</v>
      </c>
      <c r="AO190" s="692">
        <v>0</v>
      </c>
      <c r="AP190" s="628"/>
      <c r="AQ190" s="690">
        <v>0</v>
      </c>
      <c r="AR190" s="691">
        <v>0</v>
      </c>
      <c r="AS190" s="691">
        <v>0</v>
      </c>
      <c r="AT190" s="691">
        <v>0</v>
      </c>
      <c r="AU190" s="691">
        <v>0</v>
      </c>
      <c r="AV190" s="691">
        <v>55545</v>
      </c>
      <c r="AW190" s="691">
        <v>55545</v>
      </c>
      <c r="AX190" s="691">
        <v>55545</v>
      </c>
      <c r="AY190" s="691">
        <v>55545</v>
      </c>
      <c r="AZ190" s="691">
        <v>55545</v>
      </c>
      <c r="BA190" s="691">
        <v>55545</v>
      </c>
      <c r="BB190" s="691">
        <v>55545</v>
      </c>
      <c r="BC190" s="691">
        <v>55545</v>
      </c>
      <c r="BD190" s="691">
        <v>55545</v>
      </c>
      <c r="BE190" s="691">
        <v>55545</v>
      </c>
      <c r="BF190" s="691">
        <v>55493</v>
      </c>
      <c r="BG190" s="691">
        <v>55493</v>
      </c>
      <c r="BH190" s="691">
        <v>55493</v>
      </c>
      <c r="BI190" s="691">
        <v>55493</v>
      </c>
      <c r="BJ190" s="691">
        <v>55493</v>
      </c>
      <c r="BK190" s="691">
        <v>24984</v>
      </c>
      <c r="BL190" s="691">
        <v>8427</v>
      </c>
      <c r="BM190" s="691">
        <v>5486</v>
      </c>
      <c r="BN190" s="691">
        <v>5486</v>
      </c>
      <c r="BO190" s="691">
        <v>5486</v>
      </c>
      <c r="BP190" s="691">
        <v>0</v>
      </c>
      <c r="BQ190" s="691">
        <v>0</v>
      </c>
      <c r="BR190" s="691">
        <v>0</v>
      </c>
      <c r="BS190" s="691">
        <v>0</v>
      </c>
      <c r="BT190" s="692">
        <v>0</v>
      </c>
    </row>
    <row r="191" spans="2:72" hidden="1" outlineLevel="1">
      <c r="B191" s="752"/>
      <c r="C191" s="752"/>
      <c r="D191" s="752" t="s">
        <v>118</v>
      </c>
      <c r="E191" s="752"/>
      <c r="F191" s="752"/>
      <c r="G191" s="752"/>
      <c r="H191" s="889">
        <v>2016</v>
      </c>
      <c r="I191" s="639" t="s">
        <v>573</v>
      </c>
      <c r="J191" s="639" t="s">
        <v>578</v>
      </c>
      <c r="K191" s="628"/>
      <c r="L191" s="690"/>
      <c r="M191" s="691"/>
      <c r="N191" s="691"/>
      <c r="O191" s="691"/>
      <c r="P191" s="691">
        <v>0</v>
      </c>
      <c r="Q191" s="691">
        <v>1656</v>
      </c>
      <c r="R191" s="691">
        <v>1678</v>
      </c>
      <c r="S191" s="691">
        <v>1991</v>
      </c>
      <c r="T191" s="691">
        <v>1991</v>
      </c>
      <c r="U191" s="691">
        <v>1991</v>
      </c>
      <c r="V191" s="691">
        <v>1982</v>
      </c>
      <c r="W191" s="691">
        <v>1982</v>
      </c>
      <c r="X191" s="691">
        <v>1982</v>
      </c>
      <c r="Y191" s="691">
        <v>1981</v>
      </c>
      <c r="Z191" s="691">
        <v>1981</v>
      </c>
      <c r="AA191" s="691">
        <v>1972</v>
      </c>
      <c r="AB191" s="691">
        <v>351</v>
      </c>
      <c r="AC191" s="691">
        <v>63</v>
      </c>
      <c r="AD191" s="691">
        <v>63</v>
      </c>
      <c r="AE191" s="691">
        <v>13</v>
      </c>
      <c r="AF191" s="691">
        <v>0</v>
      </c>
      <c r="AG191" s="691">
        <v>0</v>
      </c>
      <c r="AH191" s="691">
        <v>0</v>
      </c>
      <c r="AI191" s="691">
        <v>0</v>
      </c>
      <c r="AJ191" s="691">
        <v>0</v>
      </c>
      <c r="AK191" s="691">
        <v>0</v>
      </c>
      <c r="AL191" s="691">
        <v>0</v>
      </c>
      <c r="AM191" s="691">
        <v>0</v>
      </c>
      <c r="AN191" s="691">
        <v>0</v>
      </c>
      <c r="AO191" s="692">
        <v>0</v>
      </c>
      <c r="AP191" s="628"/>
      <c r="AQ191" s="690">
        <v>0</v>
      </c>
      <c r="AR191" s="691">
        <v>0</v>
      </c>
      <c r="AS191" s="691">
        <v>0</v>
      </c>
      <c r="AT191" s="691">
        <v>0</v>
      </c>
      <c r="AU191" s="691">
        <v>0</v>
      </c>
      <c r="AV191" s="691">
        <v>6527366</v>
      </c>
      <c r="AW191" s="691">
        <v>6638606</v>
      </c>
      <c r="AX191" s="691">
        <v>7405152</v>
      </c>
      <c r="AY191" s="691">
        <v>7405152</v>
      </c>
      <c r="AZ191" s="691">
        <v>7405152</v>
      </c>
      <c r="BA191" s="691">
        <v>7334430</v>
      </c>
      <c r="BB191" s="691">
        <v>7334430</v>
      </c>
      <c r="BC191" s="691">
        <v>7334430</v>
      </c>
      <c r="BD191" s="691">
        <v>7317576</v>
      </c>
      <c r="BE191" s="691">
        <v>7317576</v>
      </c>
      <c r="BF191" s="691">
        <v>7213038</v>
      </c>
      <c r="BG191" s="691">
        <v>2819624</v>
      </c>
      <c r="BH191" s="691">
        <v>738475</v>
      </c>
      <c r="BI191" s="691">
        <v>738475</v>
      </c>
      <c r="BJ191" s="691">
        <v>81259</v>
      </c>
      <c r="BK191" s="691">
        <v>0</v>
      </c>
      <c r="BL191" s="691">
        <v>0</v>
      </c>
      <c r="BM191" s="691">
        <v>0</v>
      </c>
      <c r="BN191" s="691">
        <v>0</v>
      </c>
      <c r="BO191" s="691">
        <v>0</v>
      </c>
      <c r="BP191" s="691">
        <v>0</v>
      </c>
      <c r="BQ191" s="691">
        <v>0</v>
      </c>
      <c r="BR191" s="691">
        <v>0</v>
      </c>
      <c r="BS191" s="691">
        <v>0</v>
      </c>
      <c r="BT191" s="692">
        <v>0</v>
      </c>
    </row>
    <row r="192" spans="2:72" hidden="1" outlineLevel="1">
      <c r="B192" s="752"/>
      <c r="C192" s="752"/>
      <c r="D192" s="752" t="s">
        <v>124</v>
      </c>
      <c r="E192" s="752"/>
      <c r="F192" s="752"/>
      <c r="G192" s="752"/>
      <c r="H192" s="889">
        <v>2016</v>
      </c>
      <c r="I192" s="639" t="s">
        <v>573</v>
      </c>
      <c r="J192" s="639" t="s">
        <v>578</v>
      </c>
      <c r="K192" s="628"/>
      <c r="L192" s="690"/>
      <c r="M192" s="691"/>
      <c r="N192" s="691"/>
      <c r="O192" s="691"/>
      <c r="P192" s="691">
        <v>0</v>
      </c>
      <c r="Q192" s="691">
        <v>0</v>
      </c>
      <c r="R192" s="691">
        <v>0</v>
      </c>
      <c r="S192" s="691">
        <v>0</v>
      </c>
      <c r="T192" s="691">
        <v>0</v>
      </c>
      <c r="U192" s="691">
        <v>0</v>
      </c>
      <c r="V192" s="691">
        <v>0</v>
      </c>
      <c r="W192" s="691">
        <v>0</v>
      </c>
      <c r="X192" s="691">
        <v>0</v>
      </c>
      <c r="Y192" s="691">
        <v>0</v>
      </c>
      <c r="Z192" s="691">
        <v>0</v>
      </c>
      <c r="AA192" s="691">
        <v>0</v>
      </c>
      <c r="AB192" s="691">
        <v>0</v>
      </c>
      <c r="AC192" s="691">
        <v>0</v>
      </c>
      <c r="AD192" s="691">
        <v>0</v>
      </c>
      <c r="AE192" s="691">
        <v>0</v>
      </c>
      <c r="AF192" s="691">
        <v>0</v>
      </c>
      <c r="AG192" s="691">
        <v>0</v>
      </c>
      <c r="AH192" s="691">
        <v>0</v>
      </c>
      <c r="AI192" s="691">
        <v>0</v>
      </c>
      <c r="AJ192" s="691">
        <v>0</v>
      </c>
      <c r="AK192" s="691">
        <v>0</v>
      </c>
      <c r="AL192" s="691">
        <v>0</v>
      </c>
      <c r="AM192" s="691">
        <v>0</v>
      </c>
      <c r="AN192" s="691">
        <v>0</v>
      </c>
      <c r="AO192" s="692">
        <v>0</v>
      </c>
      <c r="AP192" s="628"/>
      <c r="AQ192" s="690">
        <v>0</v>
      </c>
      <c r="AR192" s="691">
        <v>0</v>
      </c>
      <c r="AS192" s="691">
        <v>0</v>
      </c>
      <c r="AT192" s="691">
        <v>0</v>
      </c>
      <c r="AU192" s="691">
        <v>0</v>
      </c>
      <c r="AV192" s="691">
        <v>1671</v>
      </c>
      <c r="AW192" s="691">
        <v>1671</v>
      </c>
      <c r="AX192" s="691">
        <v>1671</v>
      </c>
      <c r="AY192" s="691">
        <v>1671</v>
      </c>
      <c r="AZ192" s="691">
        <v>1671</v>
      </c>
      <c r="BA192" s="691">
        <v>835</v>
      </c>
      <c r="BB192" s="691">
        <v>835</v>
      </c>
      <c r="BC192" s="691">
        <v>835</v>
      </c>
      <c r="BD192" s="691">
        <v>835</v>
      </c>
      <c r="BE192" s="691">
        <v>835</v>
      </c>
      <c r="BF192" s="691">
        <v>835</v>
      </c>
      <c r="BG192" s="691">
        <v>835</v>
      </c>
      <c r="BH192" s="691">
        <v>0</v>
      </c>
      <c r="BI192" s="691">
        <v>0</v>
      </c>
      <c r="BJ192" s="691">
        <v>0</v>
      </c>
      <c r="BK192" s="691">
        <v>0</v>
      </c>
      <c r="BL192" s="691">
        <v>0</v>
      </c>
      <c r="BM192" s="691">
        <v>0</v>
      </c>
      <c r="BN192" s="691">
        <v>0</v>
      </c>
      <c r="BO192" s="691">
        <v>0</v>
      </c>
      <c r="BP192" s="691">
        <v>0</v>
      </c>
      <c r="BQ192" s="691">
        <v>0</v>
      </c>
      <c r="BR192" s="691">
        <v>0</v>
      </c>
      <c r="BS192" s="691">
        <v>0</v>
      </c>
      <c r="BT192" s="692">
        <v>0</v>
      </c>
    </row>
    <row r="193" spans="1:72" hidden="1" outlineLevel="1">
      <c r="B193" s="752"/>
      <c r="C193" s="752"/>
      <c r="D193" s="752" t="s">
        <v>767</v>
      </c>
      <c r="E193" s="752"/>
      <c r="F193" s="752"/>
      <c r="G193" s="752"/>
      <c r="H193" s="889">
        <v>2016</v>
      </c>
      <c r="I193" s="639" t="s">
        <v>573</v>
      </c>
      <c r="J193" s="639" t="s">
        <v>578</v>
      </c>
      <c r="K193" s="628"/>
      <c r="L193" s="690"/>
      <c r="M193" s="691"/>
      <c r="N193" s="691"/>
      <c r="O193" s="691"/>
      <c r="P193" s="691">
        <v>0</v>
      </c>
      <c r="Q193" s="691">
        <v>2</v>
      </c>
      <c r="R193" s="691">
        <v>2</v>
      </c>
      <c r="S193" s="691">
        <v>2</v>
      </c>
      <c r="T193" s="691">
        <v>2</v>
      </c>
      <c r="U193" s="691">
        <v>2</v>
      </c>
      <c r="V193" s="691">
        <v>2</v>
      </c>
      <c r="W193" s="691">
        <v>2</v>
      </c>
      <c r="X193" s="691">
        <v>2</v>
      </c>
      <c r="Y193" s="691">
        <v>2</v>
      </c>
      <c r="Z193" s="691">
        <v>2</v>
      </c>
      <c r="AA193" s="691">
        <v>0</v>
      </c>
      <c r="AB193" s="691">
        <v>0</v>
      </c>
      <c r="AC193" s="691">
        <v>0</v>
      </c>
      <c r="AD193" s="691">
        <v>0</v>
      </c>
      <c r="AE193" s="691">
        <v>0</v>
      </c>
      <c r="AF193" s="691">
        <v>0</v>
      </c>
      <c r="AG193" s="691">
        <v>0</v>
      </c>
      <c r="AH193" s="691">
        <v>0</v>
      </c>
      <c r="AI193" s="691">
        <v>0</v>
      </c>
      <c r="AJ193" s="691">
        <v>0</v>
      </c>
      <c r="AK193" s="691">
        <v>0</v>
      </c>
      <c r="AL193" s="691">
        <v>0</v>
      </c>
      <c r="AM193" s="691">
        <v>0</v>
      </c>
      <c r="AN193" s="691">
        <v>0</v>
      </c>
      <c r="AO193" s="692">
        <v>0</v>
      </c>
      <c r="AP193" s="628"/>
      <c r="AQ193" s="690">
        <v>0</v>
      </c>
      <c r="AR193" s="691">
        <v>0</v>
      </c>
      <c r="AS193" s="691">
        <v>0</v>
      </c>
      <c r="AT193" s="691">
        <v>0</v>
      </c>
      <c r="AU193" s="691">
        <v>0</v>
      </c>
      <c r="AV193" s="691">
        <v>13478</v>
      </c>
      <c r="AW193" s="691">
        <v>13478</v>
      </c>
      <c r="AX193" s="691">
        <v>13478</v>
      </c>
      <c r="AY193" s="691">
        <v>13478</v>
      </c>
      <c r="AZ193" s="691">
        <v>13478</v>
      </c>
      <c r="BA193" s="691">
        <v>13478</v>
      </c>
      <c r="BB193" s="691">
        <v>13478</v>
      </c>
      <c r="BC193" s="691">
        <v>13478</v>
      </c>
      <c r="BD193" s="691">
        <v>13478</v>
      </c>
      <c r="BE193" s="691">
        <v>13478</v>
      </c>
      <c r="BF193" s="691">
        <v>0</v>
      </c>
      <c r="BG193" s="691">
        <v>0</v>
      </c>
      <c r="BH193" s="691">
        <v>0</v>
      </c>
      <c r="BI193" s="691">
        <v>0</v>
      </c>
      <c r="BJ193" s="691">
        <v>0</v>
      </c>
      <c r="BK193" s="691">
        <v>0</v>
      </c>
      <c r="BL193" s="691">
        <v>0</v>
      </c>
      <c r="BM193" s="691">
        <v>0</v>
      </c>
      <c r="BN193" s="691">
        <v>0</v>
      </c>
      <c r="BO193" s="691">
        <v>0</v>
      </c>
      <c r="BP193" s="691">
        <v>0</v>
      </c>
      <c r="BQ193" s="691">
        <v>0</v>
      </c>
      <c r="BR193" s="691">
        <v>0</v>
      </c>
      <c r="BS193" s="691">
        <v>0</v>
      </c>
      <c r="BT193" s="692">
        <v>0</v>
      </c>
    </row>
    <row r="194" spans="1:72" hidden="1" outlineLevel="1">
      <c r="B194" s="752"/>
      <c r="C194" s="752"/>
      <c r="D194" s="752" t="s">
        <v>118</v>
      </c>
      <c r="E194" s="752"/>
      <c r="F194" s="752"/>
      <c r="G194" s="752"/>
      <c r="H194" s="889">
        <v>2015</v>
      </c>
      <c r="I194" s="639" t="s">
        <v>573</v>
      </c>
      <c r="J194" s="639" t="s">
        <v>578</v>
      </c>
      <c r="K194" s="628"/>
      <c r="L194" s="690"/>
      <c r="M194" s="691"/>
      <c r="N194" s="691"/>
      <c r="O194" s="691"/>
      <c r="P194" s="691">
        <v>0</v>
      </c>
      <c r="Q194" s="691">
        <v>0</v>
      </c>
      <c r="R194" s="691">
        <v>0</v>
      </c>
      <c r="S194" s="691">
        <v>0</v>
      </c>
      <c r="T194" s="691">
        <v>0</v>
      </c>
      <c r="U194" s="691">
        <v>0</v>
      </c>
      <c r="V194" s="691">
        <v>5</v>
      </c>
      <c r="W194" s="691">
        <v>5</v>
      </c>
      <c r="X194" s="691">
        <v>5</v>
      </c>
      <c r="Y194" s="691">
        <v>3</v>
      </c>
      <c r="Z194" s="691">
        <v>0</v>
      </c>
      <c r="AA194" s="691">
        <v>0</v>
      </c>
      <c r="AB194" s="691">
        <v>0</v>
      </c>
      <c r="AC194" s="691">
        <v>0</v>
      </c>
      <c r="AD194" s="691">
        <v>0</v>
      </c>
      <c r="AE194" s="691">
        <v>0</v>
      </c>
      <c r="AF194" s="691">
        <v>0</v>
      </c>
      <c r="AG194" s="691">
        <v>0</v>
      </c>
      <c r="AH194" s="691">
        <v>0</v>
      </c>
      <c r="AI194" s="691">
        <v>0</v>
      </c>
      <c r="AJ194" s="691">
        <v>0</v>
      </c>
      <c r="AK194" s="691">
        <v>0</v>
      </c>
      <c r="AL194" s="691">
        <v>0</v>
      </c>
      <c r="AM194" s="691">
        <v>0</v>
      </c>
      <c r="AN194" s="691">
        <v>0</v>
      </c>
      <c r="AO194" s="692">
        <v>0</v>
      </c>
      <c r="AP194" s="628"/>
      <c r="AQ194" s="690"/>
      <c r="AR194" s="691"/>
      <c r="AS194" s="691"/>
      <c r="AT194" s="691"/>
      <c r="AU194" s="691">
        <v>0</v>
      </c>
      <c r="AV194" s="691">
        <v>0</v>
      </c>
      <c r="AW194" s="691">
        <v>0</v>
      </c>
      <c r="AX194" s="691">
        <v>0</v>
      </c>
      <c r="AY194" s="691">
        <v>0</v>
      </c>
      <c r="AZ194" s="691">
        <v>0</v>
      </c>
      <c r="BA194" s="691">
        <v>21349</v>
      </c>
      <c r="BB194" s="691">
        <v>21349</v>
      </c>
      <c r="BC194" s="691">
        <v>21349</v>
      </c>
      <c r="BD194" s="691">
        <v>15047</v>
      </c>
      <c r="BE194" s="691">
        <v>0</v>
      </c>
      <c r="BF194" s="691">
        <v>0</v>
      </c>
      <c r="BG194" s="691">
        <v>0</v>
      </c>
      <c r="BH194" s="691">
        <v>0</v>
      </c>
      <c r="BI194" s="691">
        <v>0</v>
      </c>
      <c r="BJ194" s="691">
        <v>0</v>
      </c>
      <c r="BK194" s="691">
        <v>0</v>
      </c>
      <c r="BL194" s="691">
        <v>0</v>
      </c>
      <c r="BM194" s="691">
        <v>0</v>
      </c>
      <c r="BN194" s="691">
        <v>0</v>
      </c>
      <c r="BO194" s="691">
        <v>0</v>
      </c>
      <c r="BP194" s="691">
        <v>0</v>
      </c>
      <c r="BQ194" s="691">
        <v>0</v>
      </c>
      <c r="BR194" s="691">
        <v>0</v>
      </c>
      <c r="BS194" s="691">
        <v>0</v>
      </c>
      <c r="BT194" s="692">
        <v>0</v>
      </c>
    </row>
    <row r="195" spans="1:72" hidden="1" outlineLevel="1">
      <c r="B195" s="752"/>
      <c r="C195" s="752"/>
      <c r="D195" s="752" t="s">
        <v>100</v>
      </c>
      <c r="E195" s="752"/>
      <c r="F195" s="752"/>
      <c r="G195" s="752"/>
      <c r="H195" s="889">
        <v>2015</v>
      </c>
      <c r="I195" s="639" t="s">
        <v>573</v>
      </c>
      <c r="J195" s="639" t="s">
        <v>578</v>
      </c>
      <c r="K195" s="628"/>
      <c r="L195" s="690"/>
      <c r="M195" s="691"/>
      <c r="N195" s="691"/>
      <c r="O195" s="691"/>
      <c r="P195" s="691">
        <v>306</v>
      </c>
      <c r="Q195" s="691">
        <v>306</v>
      </c>
      <c r="R195" s="691">
        <v>326</v>
      </c>
      <c r="S195" s="691">
        <v>333</v>
      </c>
      <c r="T195" s="691">
        <v>333</v>
      </c>
      <c r="U195" s="691">
        <v>333</v>
      </c>
      <c r="V195" s="691">
        <v>429</v>
      </c>
      <c r="W195" s="691">
        <v>429</v>
      </c>
      <c r="X195" s="691">
        <v>491</v>
      </c>
      <c r="Y195" s="691">
        <v>440</v>
      </c>
      <c r="Z195" s="691">
        <v>288</v>
      </c>
      <c r="AA195" s="691">
        <v>248</v>
      </c>
      <c r="AB195" s="691">
        <v>188</v>
      </c>
      <c r="AC195" s="691">
        <v>164</v>
      </c>
      <c r="AD195" s="691">
        <v>164</v>
      </c>
      <c r="AE195" s="691">
        <v>143</v>
      </c>
      <c r="AF195" s="691">
        <v>101</v>
      </c>
      <c r="AG195" s="691">
        <v>101</v>
      </c>
      <c r="AH195" s="691">
        <v>101</v>
      </c>
      <c r="AI195" s="691">
        <v>101</v>
      </c>
      <c r="AJ195" s="691">
        <v>0</v>
      </c>
      <c r="AK195" s="691">
        <v>0</v>
      </c>
      <c r="AL195" s="691">
        <v>0</v>
      </c>
      <c r="AM195" s="691">
        <v>0</v>
      </c>
      <c r="AN195" s="691">
        <v>0</v>
      </c>
      <c r="AO195" s="692">
        <v>0</v>
      </c>
      <c r="AP195" s="628"/>
      <c r="AQ195" s="690"/>
      <c r="AR195" s="691"/>
      <c r="AS195" s="691"/>
      <c r="AT195" s="691"/>
      <c r="AU195" s="691">
        <v>1357981</v>
      </c>
      <c r="AV195" s="691">
        <v>1357981</v>
      </c>
      <c r="AW195" s="691">
        <v>1421604</v>
      </c>
      <c r="AX195" s="691">
        <v>1444321</v>
      </c>
      <c r="AY195" s="691">
        <v>1444321</v>
      </c>
      <c r="AZ195" s="691">
        <v>1444321</v>
      </c>
      <c r="BA195" s="691">
        <v>2110775</v>
      </c>
      <c r="BB195" s="691">
        <v>2110775</v>
      </c>
      <c r="BC195" s="691">
        <v>2451742</v>
      </c>
      <c r="BD195" s="691">
        <v>2269078</v>
      </c>
      <c r="BE195" s="691">
        <v>1285012</v>
      </c>
      <c r="BF195" s="691">
        <v>967519</v>
      </c>
      <c r="BG195" s="691">
        <v>581364</v>
      </c>
      <c r="BH195" s="691">
        <v>502958</v>
      </c>
      <c r="BI195" s="691">
        <v>502958</v>
      </c>
      <c r="BJ195" s="691">
        <v>441777</v>
      </c>
      <c r="BK195" s="691">
        <v>315972</v>
      </c>
      <c r="BL195" s="691">
        <v>315972</v>
      </c>
      <c r="BM195" s="691">
        <v>315972</v>
      </c>
      <c r="BN195" s="691">
        <v>315972</v>
      </c>
      <c r="BO195" s="691">
        <v>0</v>
      </c>
      <c r="BP195" s="691">
        <v>0</v>
      </c>
      <c r="BQ195" s="691">
        <v>0</v>
      </c>
      <c r="BR195" s="691">
        <v>0</v>
      </c>
      <c r="BS195" s="691">
        <v>0</v>
      </c>
      <c r="BT195" s="692">
        <v>0</v>
      </c>
    </row>
    <row r="196" spans="1:72" hidden="1" outlineLevel="1">
      <c r="B196" s="752"/>
      <c r="C196" s="752"/>
      <c r="D196" s="752" t="s">
        <v>101</v>
      </c>
      <c r="E196" s="752"/>
      <c r="F196" s="752"/>
      <c r="G196" s="752"/>
      <c r="H196" s="889">
        <v>2015</v>
      </c>
      <c r="I196" s="639" t="s">
        <v>573</v>
      </c>
      <c r="J196" s="639" t="s">
        <v>578</v>
      </c>
      <c r="K196" s="628"/>
      <c r="L196" s="690"/>
      <c r="M196" s="691"/>
      <c r="N196" s="691"/>
      <c r="O196" s="691"/>
      <c r="P196" s="691">
        <v>-38</v>
      </c>
      <c r="Q196" s="691">
        <v>-31</v>
      </c>
      <c r="R196" s="691">
        <v>5</v>
      </c>
      <c r="S196" s="691">
        <v>7</v>
      </c>
      <c r="T196" s="691">
        <v>7</v>
      </c>
      <c r="U196" s="691">
        <v>7</v>
      </c>
      <c r="V196" s="691">
        <v>7</v>
      </c>
      <c r="W196" s="691">
        <v>7</v>
      </c>
      <c r="X196" s="691">
        <v>7</v>
      </c>
      <c r="Y196" s="691">
        <v>7</v>
      </c>
      <c r="Z196" s="691">
        <v>7</v>
      </c>
      <c r="AA196" s="691">
        <v>7</v>
      </c>
      <c r="AB196" s="691">
        <v>0</v>
      </c>
      <c r="AC196" s="691">
        <v>0</v>
      </c>
      <c r="AD196" s="691">
        <v>0</v>
      </c>
      <c r="AE196" s="691">
        <v>0</v>
      </c>
      <c r="AF196" s="691">
        <v>0</v>
      </c>
      <c r="AG196" s="691">
        <v>0</v>
      </c>
      <c r="AH196" s="691">
        <v>0</v>
      </c>
      <c r="AI196" s="691">
        <v>0</v>
      </c>
      <c r="AJ196" s="691">
        <v>0</v>
      </c>
      <c r="AK196" s="691">
        <v>0</v>
      </c>
      <c r="AL196" s="691">
        <v>0</v>
      </c>
      <c r="AM196" s="691">
        <v>0</v>
      </c>
      <c r="AN196" s="691">
        <v>0</v>
      </c>
      <c r="AO196" s="692">
        <v>0</v>
      </c>
      <c r="AP196" s="628"/>
      <c r="AQ196" s="690"/>
      <c r="AR196" s="691"/>
      <c r="AS196" s="691"/>
      <c r="AT196" s="691"/>
      <c r="AU196" s="691">
        <v>-148302</v>
      </c>
      <c r="AV196" s="691">
        <v>-118886</v>
      </c>
      <c r="AW196" s="691">
        <v>15558</v>
      </c>
      <c r="AX196" s="691">
        <v>27371</v>
      </c>
      <c r="AY196" s="691">
        <v>27371</v>
      </c>
      <c r="AZ196" s="691">
        <v>27371</v>
      </c>
      <c r="BA196" s="691">
        <v>27371</v>
      </c>
      <c r="BB196" s="691">
        <v>27371</v>
      </c>
      <c r="BC196" s="691">
        <v>27371</v>
      </c>
      <c r="BD196" s="691">
        <v>27371</v>
      </c>
      <c r="BE196" s="691">
        <v>27371</v>
      </c>
      <c r="BF196" s="691">
        <v>25177</v>
      </c>
      <c r="BG196" s="691">
        <v>0</v>
      </c>
      <c r="BH196" s="691">
        <v>0</v>
      </c>
      <c r="BI196" s="691">
        <v>0</v>
      </c>
      <c r="BJ196" s="691">
        <v>0</v>
      </c>
      <c r="BK196" s="691">
        <v>0</v>
      </c>
      <c r="BL196" s="691">
        <v>0</v>
      </c>
      <c r="BM196" s="691">
        <v>0</v>
      </c>
      <c r="BN196" s="691">
        <v>0</v>
      </c>
      <c r="BO196" s="691">
        <v>0</v>
      </c>
      <c r="BP196" s="691">
        <v>0</v>
      </c>
      <c r="BQ196" s="691">
        <v>0</v>
      </c>
      <c r="BR196" s="691">
        <v>0</v>
      </c>
      <c r="BS196" s="691">
        <v>0</v>
      </c>
      <c r="BT196" s="692">
        <v>0</v>
      </c>
    </row>
    <row r="197" spans="1:72" collapsed="1">
      <c r="B197" s="752"/>
      <c r="C197" s="752" t="s">
        <v>29</v>
      </c>
      <c r="D197" s="752" t="s">
        <v>113</v>
      </c>
      <c r="E197" s="752"/>
      <c r="F197" s="752"/>
      <c r="G197" s="752"/>
      <c r="H197" s="889">
        <v>2017</v>
      </c>
      <c r="I197" s="639" t="s">
        <v>573</v>
      </c>
      <c r="J197" s="639" t="s">
        <v>585</v>
      </c>
      <c r="K197" s="628"/>
      <c r="L197" s="690"/>
      <c r="M197" s="691"/>
      <c r="N197" s="691"/>
      <c r="O197" s="691"/>
      <c r="P197" s="691"/>
      <c r="Q197" s="691"/>
      <c r="R197" s="691">
        <v>533</v>
      </c>
      <c r="S197" s="691">
        <v>432</v>
      </c>
      <c r="T197" s="691">
        <v>432</v>
      </c>
      <c r="U197" s="691">
        <v>432</v>
      </c>
      <c r="V197" s="691">
        <v>432</v>
      </c>
      <c r="W197" s="691">
        <v>432</v>
      </c>
      <c r="X197" s="691">
        <v>432</v>
      </c>
      <c r="Y197" s="691">
        <v>432</v>
      </c>
      <c r="Z197" s="691">
        <v>432</v>
      </c>
      <c r="AA197" s="691">
        <v>431</v>
      </c>
      <c r="AB197" s="691">
        <v>407</v>
      </c>
      <c r="AC197" s="691">
        <v>407</v>
      </c>
      <c r="AD197" s="691">
        <v>407</v>
      </c>
      <c r="AE197" s="691">
        <v>407</v>
      </c>
      <c r="AF197" s="691">
        <v>344</v>
      </c>
      <c r="AG197" s="691">
        <v>344</v>
      </c>
      <c r="AH197" s="691">
        <v>45</v>
      </c>
      <c r="AI197" s="691">
        <v>0</v>
      </c>
      <c r="AJ197" s="691">
        <v>0</v>
      </c>
      <c r="AK197" s="691">
        <v>0</v>
      </c>
      <c r="AL197" s="691">
        <v>0</v>
      </c>
      <c r="AM197" s="691">
        <v>0</v>
      </c>
      <c r="AN197" s="691">
        <v>0</v>
      </c>
      <c r="AO197" s="692">
        <v>0</v>
      </c>
      <c r="AP197" s="628"/>
      <c r="AQ197" s="690">
        <v>0</v>
      </c>
      <c r="AR197" s="691">
        <v>0</v>
      </c>
      <c r="AS197" s="691">
        <v>0</v>
      </c>
      <c r="AT197" s="691">
        <v>0</v>
      </c>
      <c r="AU197" s="691">
        <v>0</v>
      </c>
      <c r="AV197" s="691">
        <v>0</v>
      </c>
      <c r="AW197" s="691">
        <v>7711088</v>
      </c>
      <c r="AX197" s="691">
        <v>6202137</v>
      </c>
      <c r="AY197" s="691">
        <v>6202137</v>
      </c>
      <c r="AZ197" s="691">
        <v>6202137</v>
      </c>
      <c r="BA197" s="691">
        <v>6202137</v>
      </c>
      <c r="BB197" s="691">
        <v>6202137</v>
      </c>
      <c r="BC197" s="691">
        <v>6202137</v>
      </c>
      <c r="BD197" s="691">
        <v>6202077</v>
      </c>
      <c r="BE197" s="691">
        <v>6202077</v>
      </c>
      <c r="BF197" s="691">
        <v>6187940</v>
      </c>
      <c r="BG197" s="691">
        <v>6065003</v>
      </c>
      <c r="BH197" s="691">
        <v>6064074</v>
      </c>
      <c r="BI197" s="691">
        <v>6064074</v>
      </c>
      <c r="BJ197" s="691">
        <v>6063633</v>
      </c>
      <c r="BK197" s="691">
        <v>5125848</v>
      </c>
      <c r="BL197" s="691">
        <v>5125848</v>
      </c>
      <c r="BM197" s="691">
        <v>665804</v>
      </c>
      <c r="BN197" s="691">
        <v>0</v>
      </c>
      <c r="BO197" s="691">
        <v>0</v>
      </c>
      <c r="BP197" s="691">
        <v>0</v>
      </c>
      <c r="BQ197" s="691">
        <v>0</v>
      </c>
      <c r="BR197" s="691">
        <v>0</v>
      </c>
      <c r="BS197" s="691">
        <v>0</v>
      </c>
      <c r="BT197" s="692">
        <v>0</v>
      </c>
    </row>
    <row r="198" spans="1:72">
      <c r="B198" s="752"/>
      <c r="C198" s="752" t="s">
        <v>29</v>
      </c>
      <c r="D198" s="752" t="s">
        <v>768</v>
      </c>
      <c r="E198" s="752"/>
      <c r="F198" s="752"/>
      <c r="G198" s="752"/>
      <c r="H198" s="889">
        <v>2017</v>
      </c>
      <c r="I198" s="639" t="s">
        <v>573</v>
      </c>
      <c r="J198" s="639" t="s">
        <v>585</v>
      </c>
      <c r="K198" s="628"/>
      <c r="L198" s="690"/>
      <c r="M198" s="691"/>
      <c r="N198" s="691"/>
      <c r="O198" s="691"/>
      <c r="P198" s="691"/>
      <c r="Q198" s="691"/>
      <c r="R198" s="691">
        <v>458</v>
      </c>
      <c r="S198" s="691">
        <v>334</v>
      </c>
      <c r="T198" s="691">
        <v>334</v>
      </c>
      <c r="U198" s="691">
        <v>334</v>
      </c>
      <c r="V198" s="691">
        <v>334</v>
      </c>
      <c r="W198" s="691">
        <v>334</v>
      </c>
      <c r="X198" s="691">
        <v>334</v>
      </c>
      <c r="Y198" s="691">
        <v>334</v>
      </c>
      <c r="Z198" s="691">
        <v>334</v>
      </c>
      <c r="AA198" s="691">
        <v>334</v>
      </c>
      <c r="AB198" s="691">
        <v>316</v>
      </c>
      <c r="AC198" s="691">
        <v>316</v>
      </c>
      <c r="AD198" s="691">
        <v>316</v>
      </c>
      <c r="AE198" s="691">
        <v>268</v>
      </c>
      <c r="AF198" s="691">
        <v>268</v>
      </c>
      <c r="AG198" s="691">
        <v>208</v>
      </c>
      <c r="AH198" s="691">
        <v>165</v>
      </c>
      <c r="AI198" s="691">
        <v>0</v>
      </c>
      <c r="AJ198" s="691">
        <v>0</v>
      </c>
      <c r="AK198" s="691">
        <v>0</v>
      </c>
      <c r="AL198" s="691">
        <v>0</v>
      </c>
      <c r="AM198" s="691">
        <v>0</v>
      </c>
      <c r="AN198" s="691">
        <v>0</v>
      </c>
      <c r="AO198" s="692">
        <v>0</v>
      </c>
      <c r="AP198" s="628"/>
      <c r="AQ198" s="690">
        <v>0</v>
      </c>
      <c r="AR198" s="691">
        <v>0</v>
      </c>
      <c r="AS198" s="691">
        <v>0</v>
      </c>
      <c r="AT198" s="691">
        <v>0</v>
      </c>
      <c r="AU198" s="691">
        <v>0</v>
      </c>
      <c r="AV198" s="691">
        <v>0</v>
      </c>
      <c r="AW198" s="691">
        <v>6676070</v>
      </c>
      <c r="AX198" s="691">
        <v>4834733</v>
      </c>
      <c r="AY198" s="691">
        <v>4834733</v>
      </c>
      <c r="AZ198" s="691">
        <v>4834733</v>
      </c>
      <c r="BA198" s="691">
        <v>4834733</v>
      </c>
      <c r="BB198" s="691">
        <v>4834733</v>
      </c>
      <c r="BC198" s="691">
        <v>4834733</v>
      </c>
      <c r="BD198" s="691">
        <v>4834640</v>
      </c>
      <c r="BE198" s="691">
        <v>4834640</v>
      </c>
      <c r="BF198" s="691">
        <v>4834640</v>
      </c>
      <c r="BG198" s="691">
        <v>4746620</v>
      </c>
      <c r="BH198" s="691">
        <v>4738346</v>
      </c>
      <c r="BI198" s="691">
        <v>4738346</v>
      </c>
      <c r="BJ198" s="691">
        <v>4000894</v>
      </c>
      <c r="BK198" s="691">
        <v>4000894</v>
      </c>
      <c r="BL198" s="691">
        <v>3098874</v>
      </c>
      <c r="BM198" s="691">
        <v>2456082</v>
      </c>
      <c r="BN198" s="691">
        <v>0</v>
      </c>
      <c r="BO198" s="691">
        <v>0</v>
      </c>
      <c r="BP198" s="691">
        <v>0</v>
      </c>
      <c r="BQ198" s="691">
        <v>0</v>
      </c>
      <c r="BR198" s="691">
        <v>0</v>
      </c>
      <c r="BS198" s="691">
        <v>0</v>
      </c>
      <c r="BT198" s="692">
        <v>0</v>
      </c>
    </row>
    <row r="199" spans="1:72">
      <c r="B199" s="752"/>
      <c r="C199" s="752" t="s">
        <v>29</v>
      </c>
      <c r="D199" s="752" t="s">
        <v>765</v>
      </c>
      <c r="E199" s="752"/>
      <c r="F199" s="752"/>
      <c r="G199" s="752"/>
      <c r="H199" s="889">
        <v>2017</v>
      </c>
      <c r="I199" s="639" t="s">
        <v>573</v>
      </c>
      <c r="J199" s="639" t="s">
        <v>585</v>
      </c>
      <c r="K199" s="628"/>
      <c r="L199" s="690"/>
      <c r="M199" s="691"/>
      <c r="N199" s="691"/>
      <c r="O199" s="691"/>
      <c r="P199" s="691"/>
      <c r="Q199" s="691"/>
      <c r="R199" s="691">
        <v>450</v>
      </c>
      <c r="S199" s="691">
        <v>450</v>
      </c>
      <c r="T199" s="691">
        <v>450</v>
      </c>
      <c r="U199" s="691">
        <v>450</v>
      </c>
      <c r="V199" s="691">
        <v>450</v>
      </c>
      <c r="W199" s="691">
        <v>450</v>
      </c>
      <c r="X199" s="691">
        <v>450</v>
      </c>
      <c r="Y199" s="691">
        <v>450</v>
      </c>
      <c r="Z199" s="691">
        <v>450</v>
      </c>
      <c r="AA199" s="691">
        <v>450</v>
      </c>
      <c r="AB199" s="691">
        <v>450</v>
      </c>
      <c r="AC199" s="691">
        <v>450</v>
      </c>
      <c r="AD199" s="691">
        <v>450</v>
      </c>
      <c r="AE199" s="691">
        <v>450</v>
      </c>
      <c r="AF199" s="691">
        <v>450</v>
      </c>
      <c r="AG199" s="691">
        <v>450</v>
      </c>
      <c r="AH199" s="691">
        <v>450</v>
      </c>
      <c r="AI199" s="691">
        <v>450</v>
      </c>
      <c r="AJ199" s="691">
        <v>397</v>
      </c>
      <c r="AK199" s="691">
        <v>0</v>
      </c>
      <c r="AL199" s="691">
        <v>0</v>
      </c>
      <c r="AM199" s="691">
        <v>0</v>
      </c>
      <c r="AN199" s="691">
        <v>0</v>
      </c>
      <c r="AO199" s="692">
        <v>0</v>
      </c>
      <c r="AP199" s="628"/>
      <c r="AQ199" s="690">
        <v>0</v>
      </c>
      <c r="AR199" s="691">
        <v>0</v>
      </c>
      <c r="AS199" s="691">
        <v>0</v>
      </c>
      <c r="AT199" s="691">
        <v>0</v>
      </c>
      <c r="AU199" s="691">
        <v>0</v>
      </c>
      <c r="AV199" s="691">
        <v>0</v>
      </c>
      <c r="AW199" s="691">
        <v>1537439</v>
      </c>
      <c r="AX199" s="691">
        <v>1537439</v>
      </c>
      <c r="AY199" s="691">
        <v>1537439</v>
      </c>
      <c r="AZ199" s="691">
        <v>1537439</v>
      </c>
      <c r="BA199" s="691">
        <v>1537439</v>
      </c>
      <c r="BB199" s="691">
        <v>1537439</v>
      </c>
      <c r="BC199" s="691">
        <v>1537439</v>
      </c>
      <c r="BD199" s="691">
        <v>1537439</v>
      </c>
      <c r="BE199" s="691">
        <v>1537439</v>
      </c>
      <c r="BF199" s="691">
        <v>1537439</v>
      </c>
      <c r="BG199" s="691">
        <v>1537439</v>
      </c>
      <c r="BH199" s="691">
        <v>1537439</v>
      </c>
      <c r="BI199" s="691">
        <v>1537439</v>
      </c>
      <c r="BJ199" s="691">
        <v>1537439</v>
      </c>
      <c r="BK199" s="691">
        <v>1537439</v>
      </c>
      <c r="BL199" s="691">
        <v>1537439</v>
      </c>
      <c r="BM199" s="691">
        <v>1537439</v>
      </c>
      <c r="BN199" s="691">
        <v>1537439</v>
      </c>
      <c r="BO199" s="691">
        <v>1472677</v>
      </c>
      <c r="BP199" s="691">
        <v>0</v>
      </c>
      <c r="BQ199" s="691">
        <v>0</v>
      </c>
      <c r="BR199" s="691">
        <v>0</v>
      </c>
      <c r="BS199" s="691">
        <v>0</v>
      </c>
      <c r="BT199" s="692">
        <v>0</v>
      </c>
    </row>
    <row r="200" spans="1:72">
      <c r="B200" s="752"/>
      <c r="C200" s="752" t="s">
        <v>29</v>
      </c>
      <c r="D200" s="752" t="s">
        <v>115</v>
      </c>
      <c r="E200" s="752"/>
      <c r="F200" s="752"/>
      <c r="G200" s="752"/>
      <c r="H200" s="889">
        <v>2017</v>
      </c>
      <c r="I200" s="639" t="s">
        <v>573</v>
      </c>
      <c r="J200" s="639" t="s">
        <v>585</v>
      </c>
      <c r="K200" s="628"/>
      <c r="L200" s="690"/>
      <c r="M200" s="691"/>
      <c r="N200" s="691"/>
      <c r="O200" s="691"/>
      <c r="P200" s="691"/>
      <c r="Q200" s="691"/>
      <c r="R200" s="691">
        <v>14</v>
      </c>
      <c r="S200" s="691">
        <v>14</v>
      </c>
      <c r="T200" s="691">
        <v>14</v>
      </c>
      <c r="U200" s="691">
        <v>14</v>
      </c>
      <c r="V200" s="691">
        <v>14</v>
      </c>
      <c r="W200" s="691">
        <v>14</v>
      </c>
      <c r="X200" s="691">
        <v>14</v>
      </c>
      <c r="Y200" s="691">
        <v>14</v>
      </c>
      <c r="Z200" s="691">
        <v>14</v>
      </c>
      <c r="AA200" s="691">
        <v>14</v>
      </c>
      <c r="AB200" s="691">
        <v>14</v>
      </c>
      <c r="AC200" s="691">
        <v>14</v>
      </c>
      <c r="AD200" s="691">
        <v>14</v>
      </c>
      <c r="AE200" s="691">
        <v>14</v>
      </c>
      <c r="AF200" s="691">
        <v>14</v>
      </c>
      <c r="AG200" s="691">
        <v>2</v>
      </c>
      <c r="AH200" s="691">
        <v>1</v>
      </c>
      <c r="AI200" s="691">
        <v>0</v>
      </c>
      <c r="AJ200" s="691">
        <v>0</v>
      </c>
      <c r="AK200" s="691">
        <v>0</v>
      </c>
      <c r="AL200" s="691">
        <v>0</v>
      </c>
      <c r="AM200" s="691">
        <v>0</v>
      </c>
      <c r="AN200" s="691">
        <v>0</v>
      </c>
      <c r="AO200" s="692">
        <v>0</v>
      </c>
      <c r="AP200" s="628"/>
      <c r="AQ200" s="690">
        <v>0</v>
      </c>
      <c r="AR200" s="691">
        <v>0</v>
      </c>
      <c r="AS200" s="691">
        <v>0</v>
      </c>
      <c r="AT200" s="691">
        <v>0</v>
      </c>
      <c r="AU200" s="691">
        <v>0</v>
      </c>
      <c r="AV200" s="691">
        <v>0</v>
      </c>
      <c r="AW200" s="691">
        <v>56486</v>
      </c>
      <c r="AX200" s="691">
        <v>56486</v>
      </c>
      <c r="AY200" s="691">
        <v>56486</v>
      </c>
      <c r="AZ200" s="691">
        <v>56486</v>
      </c>
      <c r="BA200" s="691">
        <v>56486</v>
      </c>
      <c r="BB200" s="691">
        <v>56486</v>
      </c>
      <c r="BC200" s="691">
        <v>56486</v>
      </c>
      <c r="BD200" s="691">
        <v>56486</v>
      </c>
      <c r="BE200" s="691">
        <v>56486</v>
      </c>
      <c r="BF200" s="691">
        <v>56486</v>
      </c>
      <c r="BG200" s="691">
        <v>56442</v>
      </c>
      <c r="BH200" s="691">
        <v>56442</v>
      </c>
      <c r="BI200" s="691">
        <v>56442</v>
      </c>
      <c r="BJ200" s="691">
        <v>56442</v>
      </c>
      <c r="BK200" s="691">
        <v>56442</v>
      </c>
      <c r="BL200" s="691">
        <v>33920</v>
      </c>
      <c r="BM200" s="691">
        <v>10993</v>
      </c>
      <c r="BN200" s="691">
        <v>6730</v>
      </c>
      <c r="BO200" s="691">
        <v>6730</v>
      </c>
      <c r="BP200" s="691">
        <v>6730</v>
      </c>
      <c r="BQ200" s="691">
        <v>0</v>
      </c>
      <c r="BR200" s="691">
        <v>0</v>
      </c>
      <c r="BS200" s="691">
        <v>0</v>
      </c>
      <c r="BT200" s="692">
        <v>0</v>
      </c>
    </row>
    <row r="201" spans="1:72">
      <c r="B201" s="752"/>
      <c r="C201" s="752" t="s">
        <v>29</v>
      </c>
      <c r="D201" s="752" t="s">
        <v>116</v>
      </c>
      <c r="E201" s="752"/>
      <c r="F201" s="752"/>
      <c r="G201" s="752"/>
      <c r="H201" s="889">
        <v>2017</v>
      </c>
      <c r="I201" s="639" t="s">
        <v>573</v>
      </c>
      <c r="J201" s="639" t="s">
        <v>585</v>
      </c>
      <c r="K201" s="628"/>
      <c r="L201" s="690"/>
      <c r="M201" s="691"/>
      <c r="N201" s="691"/>
      <c r="O201" s="691"/>
      <c r="P201" s="691"/>
      <c r="Q201" s="691"/>
      <c r="R201" s="691">
        <v>3</v>
      </c>
      <c r="S201" s="691">
        <v>3</v>
      </c>
      <c r="T201" s="691">
        <v>3</v>
      </c>
      <c r="U201" s="691">
        <v>3</v>
      </c>
      <c r="V201" s="691">
        <v>3</v>
      </c>
      <c r="W201" s="691">
        <v>3</v>
      </c>
      <c r="X201" s="691">
        <v>3</v>
      </c>
      <c r="Y201" s="691">
        <v>3</v>
      </c>
      <c r="Z201" s="691">
        <v>3</v>
      </c>
      <c r="AA201" s="691">
        <v>3</v>
      </c>
      <c r="AB201" s="691">
        <v>1</v>
      </c>
      <c r="AC201" s="691">
        <v>1</v>
      </c>
      <c r="AD201" s="691">
        <v>0</v>
      </c>
      <c r="AE201" s="691">
        <v>0</v>
      </c>
      <c r="AF201" s="691">
        <v>0</v>
      </c>
      <c r="AG201" s="691">
        <v>0</v>
      </c>
      <c r="AH201" s="691">
        <v>0</v>
      </c>
      <c r="AI201" s="691">
        <v>0</v>
      </c>
      <c r="AJ201" s="691">
        <v>0</v>
      </c>
      <c r="AK201" s="691">
        <v>0</v>
      </c>
      <c r="AL201" s="691">
        <v>0</v>
      </c>
      <c r="AM201" s="691">
        <v>0</v>
      </c>
      <c r="AN201" s="691">
        <v>0</v>
      </c>
      <c r="AO201" s="692">
        <v>0</v>
      </c>
      <c r="AP201" s="628"/>
      <c r="AQ201" s="690">
        <v>0</v>
      </c>
      <c r="AR201" s="691">
        <v>0</v>
      </c>
      <c r="AS201" s="691">
        <v>0</v>
      </c>
      <c r="AT201" s="691">
        <v>0</v>
      </c>
      <c r="AU201" s="691">
        <v>0</v>
      </c>
      <c r="AV201" s="691">
        <v>0</v>
      </c>
      <c r="AW201" s="691">
        <v>9874</v>
      </c>
      <c r="AX201" s="691">
        <v>9874</v>
      </c>
      <c r="AY201" s="691">
        <v>9874</v>
      </c>
      <c r="AZ201" s="691">
        <v>9874</v>
      </c>
      <c r="BA201" s="691">
        <v>9874</v>
      </c>
      <c r="BB201" s="691">
        <v>9874</v>
      </c>
      <c r="BC201" s="691">
        <v>9874</v>
      </c>
      <c r="BD201" s="691">
        <v>9874</v>
      </c>
      <c r="BE201" s="691">
        <v>9874</v>
      </c>
      <c r="BF201" s="691">
        <v>9874</v>
      </c>
      <c r="BG201" s="691">
        <v>6432</v>
      </c>
      <c r="BH201" s="691">
        <v>6432</v>
      </c>
      <c r="BI201" s="691">
        <v>5887</v>
      </c>
      <c r="BJ201" s="691">
        <v>5887</v>
      </c>
      <c r="BK201" s="691">
        <v>5628</v>
      </c>
      <c r="BL201" s="691">
        <v>5628</v>
      </c>
      <c r="BM201" s="691">
        <v>5628</v>
      </c>
      <c r="BN201" s="691">
        <v>5628</v>
      </c>
      <c r="BO201" s="691">
        <v>5628</v>
      </c>
      <c r="BP201" s="691">
        <v>5628</v>
      </c>
      <c r="BQ201" s="691">
        <v>0</v>
      </c>
      <c r="BR201" s="691">
        <v>0</v>
      </c>
      <c r="BS201" s="691">
        <v>0</v>
      </c>
      <c r="BT201" s="692">
        <v>0</v>
      </c>
    </row>
    <row r="202" spans="1:72">
      <c r="A202" s="891"/>
      <c r="B202" s="752"/>
      <c r="C202" s="752" t="s">
        <v>735</v>
      </c>
      <c r="D202" s="752" t="s">
        <v>118</v>
      </c>
      <c r="E202" s="752"/>
      <c r="F202" s="752"/>
      <c r="G202" s="752"/>
      <c r="H202" s="889">
        <v>2017</v>
      </c>
      <c r="I202" s="639" t="s">
        <v>573</v>
      </c>
      <c r="J202" s="639" t="s">
        <v>585</v>
      </c>
      <c r="K202" s="628"/>
      <c r="L202" s="690"/>
      <c r="M202" s="691"/>
      <c r="N202" s="691"/>
      <c r="O202" s="691"/>
      <c r="P202" s="691"/>
      <c r="Q202" s="691"/>
      <c r="R202" s="691">
        <v>3304</v>
      </c>
      <c r="S202" s="691">
        <v>3344</v>
      </c>
      <c r="T202" s="691">
        <v>3344</v>
      </c>
      <c r="U202" s="691">
        <v>3344</v>
      </c>
      <c r="V202" s="691">
        <v>3344</v>
      </c>
      <c r="W202" s="691">
        <v>3244</v>
      </c>
      <c r="X202" s="691">
        <v>3244</v>
      </c>
      <c r="Y202" s="691">
        <v>3244</v>
      </c>
      <c r="Z202" s="691">
        <v>3243</v>
      </c>
      <c r="AA202" s="691">
        <v>3243</v>
      </c>
      <c r="AB202" s="691">
        <v>3139</v>
      </c>
      <c r="AC202" s="691">
        <v>2983</v>
      </c>
      <c r="AD202" s="691">
        <v>1224</v>
      </c>
      <c r="AE202" s="691">
        <v>952</v>
      </c>
      <c r="AF202" s="691">
        <v>112</v>
      </c>
      <c r="AG202" s="691">
        <v>0</v>
      </c>
      <c r="AH202" s="691">
        <v>0</v>
      </c>
      <c r="AI202" s="691">
        <v>0</v>
      </c>
      <c r="AJ202" s="691">
        <v>0</v>
      </c>
      <c r="AK202" s="691">
        <v>0</v>
      </c>
      <c r="AL202" s="691">
        <v>0</v>
      </c>
      <c r="AM202" s="691">
        <v>0</v>
      </c>
      <c r="AN202" s="691">
        <v>0</v>
      </c>
      <c r="AO202" s="692">
        <v>0</v>
      </c>
      <c r="AP202" s="628"/>
      <c r="AQ202" s="690">
        <v>0</v>
      </c>
      <c r="AR202" s="691">
        <v>0</v>
      </c>
      <c r="AS202" s="691">
        <v>0</v>
      </c>
      <c r="AT202" s="691">
        <v>0</v>
      </c>
      <c r="AU202" s="691">
        <v>0</v>
      </c>
      <c r="AV202" s="691">
        <v>0</v>
      </c>
      <c r="AW202" s="691">
        <v>23630919</v>
      </c>
      <c r="AX202" s="691">
        <v>23734708</v>
      </c>
      <c r="AY202" s="691">
        <v>23734708</v>
      </c>
      <c r="AZ202" s="691">
        <v>23734708</v>
      </c>
      <c r="BA202" s="691">
        <v>23734708</v>
      </c>
      <c r="BB202" s="691">
        <v>23243403</v>
      </c>
      <c r="BC202" s="691">
        <v>23243403</v>
      </c>
      <c r="BD202" s="691">
        <v>23243403</v>
      </c>
      <c r="BE202" s="691">
        <v>23066220</v>
      </c>
      <c r="BF202" s="691">
        <v>23066220</v>
      </c>
      <c r="BG202" s="691">
        <v>22590487</v>
      </c>
      <c r="BH202" s="691">
        <v>22222911</v>
      </c>
      <c r="BI202" s="691">
        <v>6195210</v>
      </c>
      <c r="BJ202" s="691">
        <v>5355904</v>
      </c>
      <c r="BK202" s="691">
        <v>810186</v>
      </c>
      <c r="BL202" s="691">
        <v>0</v>
      </c>
      <c r="BM202" s="691">
        <v>0</v>
      </c>
      <c r="BN202" s="691">
        <v>0</v>
      </c>
      <c r="BO202" s="691">
        <v>0</v>
      </c>
      <c r="BP202" s="691">
        <v>0</v>
      </c>
      <c r="BQ202" s="691">
        <v>0</v>
      </c>
      <c r="BR202" s="691">
        <v>0</v>
      </c>
      <c r="BS202" s="691">
        <v>0</v>
      </c>
      <c r="BT202" s="692">
        <v>0</v>
      </c>
    </row>
    <row r="203" spans="1:72">
      <c r="B203" s="752"/>
      <c r="C203" s="752" t="s">
        <v>735</v>
      </c>
      <c r="D203" s="752" t="s">
        <v>119</v>
      </c>
      <c r="E203" s="752"/>
      <c r="F203" s="752"/>
      <c r="G203" s="752"/>
      <c r="H203" s="889">
        <v>2017</v>
      </c>
      <c r="I203" s="639" t="s">
        <v>573</v>
      </c>
      <c r="J203" s="639" t="s">
        <v>585</v>
      </c>
      <c r="K203" s="628"/>
      <c r="L203" s="690"/>
      <c r="M203" s="691"/>
      <c r="N203" s="691"/>
      <c r="O203" s="691"/>
      <c r="P203" s="691"/>
      <c r="Q203" s="691"/>
      <c r="R203" s="691">
        <v>2</v>
      </c>
      <c r="S203" s="691">
        <v>2</v>
      </c>
      <c r="T203" s="691">
        <v>2</v>
      </c>
      <c r="U203" s="691">
        <v>2</v>
      </c>
      <c r="V203" s="691">
        <v>2</v>
      </c>
      <c r="W203" s="691">
        <v>2</v>
      </c>
      <c r="X203" s="691">
        <v>1</v>
      </c>
      <c r="Y203" s="691">
        <v>1</v>
      </c>
      <c r="Z203" s="691">
        <v>1</v>
      </c>
      <c r="AA203" s="691">
        <v>1</v>
      </c>
      <c r="AB203" s="691">
        <v>0</v>
      </c>
      <c r="AC203" s="691">
        <v>0</v>
      </c>
      <c r="AD203" s="691">
        <v>0</v>
      </c>
      <c r="AE203" s="691">
        <v>0</v>
      </c>
      <c r="AF203" s="691">
        <v>0</v>
      </c>
      <c r="AG203" s="691">
        <v>0</v>
      </c>
      <c r="AH203" s="691">
        <v>0</v>
      </c>
      <c r="AI203" s="691">
        <v>0</v>
      </c>
      <c r="AJ203" s="691">
        <v>0</v>
      </c>
      <c r="AK203" s="691">
        <v>0</v>
      </c>
      <c r="AL203" s="691">
        <v>0</v>
      </c>
      <c r="AM203" s="691">
        <v>0</v>
      </c>
      <c r="AN203" s="691">
        <v>0</v>
      </c>
      <c r="AO203" s="692">
        <v>0</v>
      </c>
      <c r="AP203" s="628"/>
      <c r="AQ203" s="690">
        <v>0</v>
      </c>
      <c r="AR203" s="691">
        <v>0</v>
      </c>
      <c r="AS203" s="691">
        <v>0</v>
      </c>
      <c r="AT203" s="691">
        <v>0</v>
      </c>
      <c r="AU203" s="691">
        <v>0</v>
      </c>
      <c r="AV203" s="691">
        <v>0</v>
      </c>
      <c r="AW203" s="691">
        <v>5544</v>
      </c>
      <c r="AX203" s="691">
        <v>5544</v>
      </c>
      <c r="AY203" s="691">
        <v>5544</v>
      </c>
      <c r="AZ203" s="691">
        <v>5544</v>
      </c>
      <c r="BA203" s="691">
        <v>5544</v>
      </c>
      <c r="BB203" s="691">
        <v>5482</v>
      </c>
      <c r="BC203" s="691">
        <v>4916</v>
      </c>
      <c r="BD203" s="691">
        <v>4916</v>
      </c>
      <c r="BE203" s="691">
        <v>3855</v>
      </c>
      <c r="BF203" s="691">
        <v>3855</v>
      </c>
      <c r="BG203" s="691">
        <v>1047</v>
      </c>
      <c r="BH203" s="691">
        <v>929</v>
      </c>
      <c r="BI203" s="691">
        <v>929</v>
      </c>
      <c r="BJ203" s="691">
        <v>929</v>
      </c>
      <c r="BK203" s="691">
        <v>929</v>
      </c>
      <c r="BL203" s="691">
        <v>929</v>
      </c>
      <c r="BM203" s="691">
        <v>929</v>
      </c>
      <c r="BN203" s="691">
        <v>929</v>
      </c>
      <c r="BO203" s="691">
        <v>929</v>
      </c>
      <c r="BP203" s="691">
        <v>929</v>
      </c>
      <c r="BQ203" s="691">
        <v>929</v>
      </c>
      <c r="BR203" s="691">
        <v>929</v>
      </c>
      <c r="BS203" s="691">
        <v>929</v>
      </c>
      <c r="BT203" s="692">
        <v>929</v>
      </c>
    </row>
    <row r="204" spans="1:72">
      <c r="B204" s="752"/>
      <c r="C204" s="752" t="s">
        <v>735</v>
      </c>
      <c r="D204" s="752" t="s">
        <v>120</v>
      </c>
      <c r="E204" s="752"/>
      <c r="F204" s="752"/>
      <c r="G204" s="752"/>
      <c r="H204" s="889">
        <v>2017</v>
      </c>
      <c r="I204" s="639" t="s">
        <v>573</v>
      </c>
      <c r="J204" s="639" t="s">
        <v>585</v>
      </c>
      <c r="K204" s="628"/>
      <c r="L204" s="690"/>
      <c r="M204" s="691"/>
      <c r="N204" s="691"/>
      <c r="O204" s="691"/>
      <c r="P204" s="691"/>
      <c r="Q204" s="691"/>
      <c r="R204" s="691">
        <v>25</v>
      </c>
      <c r="S204" s="691">
        <v>25</v>
      </c>
      <c r="T204" s="691">
        <v>25</v>
      </c>
      <c r="U204" s="691">
        <v>25</v>
      </c>
      <c r="V204" s="691">
        <v>25</v>
      </c>
      <c r="W204" s="691">
        <v>25</v>
      </c>
      <c r="X204" s="691">
        <v>25</v>
      </c>
      <c r="Y204" s="691">
        <v>25</v>
      </c>
      <c r="Z204" s="691">
        <v>25</v>
      </c>
      <c r="AA204" s="691">
        <v>25</v>
      </c>
      <c r="AB204" s="691">
        <v>25</v>
      </c>
      <c r="AC204" s="691">
        <v>25</v>
      </c>
      <c r="AD204" s="691">
        <v>25</v>
      </c>
      <c r="AE204" s="691">
        <v>25</v>
      </c>
      <c r="AF204" s="691">
        <v>25</v>
      </c>
      <c r="AG204" s="691">
        <v>23</v>
      </c>
      <c r="AH204" s="691">
        <v>21</v>
      </c>
      <c r="AI204" s="691">
        <v>7</v>
      </c>
      <c r="AJ204" s="691">
        <v>0</v>
      </c>
      <c r="AK204" s="691">
        <v>0</v>
      </c>
      <c r="AL204" s="691">
        <v>0</v>
      </c>
      <c r="AM204" s="691">
        <v>0</v>
      </c>
      <c r="AN204" s="691">
        <v>0</v>
      </c>
      <c r="AO204" s="692">
        <v>0</v>
      </c>
      <c r="AP204" s="628"/>
      <c r="AQ204" s="690">
        <v>0</v>
      </c>
      <c r="AR204" s="691">
        <v>0</v>
      </c>
      <c r="AS204" s="691">
        <v>0</v>
      </c>
      <c r="AT204" s="691">
        <v>0</v>
      </c>
      <c r="AU204" s="691">
        <v>0</v>
      </c>
      <c r="AV204" s="691">
        <v>0</v>
      </c>
      <c r="AW204" s="691">
        <v>86200</v>
      </c>
      <c r="AX204" s="691">
        <v>86200</v>
      </c>
      <c r="AY204" s="691">
        <v>86200</v>
      </c>
      <c r="AZ204" s="691">
        <v>86200</v>
      </c>
      <c r="BA204" s="691">
        <v>86200</v>
      </c>
      <c r="BB204" s="691">
        <v>86200</v>
      </c>
      <c r="BC204" s="691">
        <v>86200</v>
      </c>
      <c r="BD204" s="691">
        <v>86200</v>
      </c>
      <c r="BE204" s="691">
        <v>86200</v>
      </c>
      <c r="BF204" s="691">
        <v>86200</v>
      </c>
      <c r="BG204" s="691">
        <v>86200</v>
      </c>
      <c r="BH204" s="691">
        <v>86200</v>
      </c>
      <c r="BI204" s="691">
        <v>86200</v>
      </c>
      <c r="BJ204" s="691">
        <v>86200</v>
      </c>
      <c r="BK204" s="691">
        <v>86200</v>
      </c>
      <c r="BL204" s="691">
        <v>78262</v>
      </c>
      <c r="BM204" s="691">
        <v>73810</v>
      </c>
      <c r="BN204" s="691">
        <v>25057</v>
      </c>
      <c r="BO204" s="691">
        <v>0</v>
      </c>
      <c r="BP204" s="691">
        <v>0</v>
      </c>
      <c r="BQ204" s="691">
        <v>0</v>
      </c>
      <c r="BR204" s="691">
        <v>0</v>
      </c>
      <c r="BS204" s="691">
        <v>0</v>
      </c>
      <c r="BT204" s="692">
        <v>0</v>
      </c>
    </row>
    <row r="205" spans="1:72">
      <c r="B205" s="752"/>
      <c r="C205" s="752" t="s">
        <v>735</v>
      </c>
      <c r="D205" s="752" t="s">
        <v>122</v>
      </c>
      <c r="E205" s="752"/>
      <c r="F205" s="752"/>
      <c r="G205" s="752"/>
      <c r="H205" s="889">
        <v>2017</v>
      </c>
      <c r="I205" s="639" t="s">
        <v>573</v>
      </c>
      <c r="J205" s="639" t="s">
        <v>585</v>
      </c>
      <c r="K205" s="628"/>
      <c r="L205" s="690"/>
      <c r="M205" s="691"/>
      <c r="N205" s="691"/>
      <c r="O205" s="691"/>
      <c r="P205" s="691"/>
      <c r="Q205" s="691"/>
      <c r="R205" s="691">
        <v>336</v>
      </c>
      <c r="S205" s="691">
        <v>336</v>
      </c>
      <c r="T205" s="691">
        <v>336</v>
      </c>
      <c r="U205" s="691">
        <v>336</v>
      </c>
      <c r="V205" s="691">
        <v>336</v>
      </c>
      <c r="W205" s="691">
        <v>336</v>
      </c>
      <c r="X205" s="691">
        <v>336</v>
      </c>
      <c r="Y205" s="691">
        <v>336</v>
      </c>
      <c r="Z205" s="691">
        <v>336</v>
      </c>
      <c r="AA205" s="691">
        <v>336</v>
      </c>
      <c r="AB205" s="691">
        <v>336</v>
      </c>
      <c r="AC205" s="691">
        <v>336</v>
      </c>
      <c r="AD205" s="691">
        <v>336</v>
      </c>
      <c r="AE205" s="691">
        <v>336</v>
      </c>
      <c r="AF205" s="691">
        <v>336</v>
      </c>
      <c r="AG205" s="691">
        <v>336</v>
      </c>
      <c r="AH205" s="691">
        <v>336</v>
      </c>
      <c r="AI205" s="691">
        <v>336</v>
      </c>
      <c r="AJ205" s="691">
        <v>336</v>
      </c>
      <c r="AK205" s="691">
        <v>336</v>
      </c>
      <c r="AL205" s="691">
        <v>0</v>
      </c>
      <c r="AM205" s="691">
        <v>0</v>
      </c>
      <c r="AN205" s="691">
        <v>0</v>
      </c>
      <c r="AO205" s="692">
        <v>0</v>
      </c>
      <c r="AP205" s="628"/>
      <c r="AQ205" s="690">
        <v>0</v>
      </c>
      <c r="AR205" s="691">
        <v>0</v>
      </c>
      <c r="AS205" s="691">
        <v>0</v>
      </c>
      <c r="AT205" s="691">
        <v>0</v>
      </c>
      <c r="AU205" s="691">
        <v>0</v>
      </c>
      <c r="AV205" s="691">
        <v>0</v>
      </c>
      <c r="AW205" s="691">
        <v>2835485</v>
      </c>
      <c r="AX205" s="691">
        <v>2835485</v>
      </c>
      <c r="AY205" s="691">
        <v>2835485</v>
      </c>
      <c r="AZ205" s="691">
        <v>2835485</v>
      </c>
      <c r="BA205" s="691">
        <v>2835485</v>
      </c>
      <c r="BB205" s="691">
        <v>2835485</v>
      </c>
      <c r="BC205" s="691">
        <v>2835485</v>
      </c>
      <c r="BD205" s="691">
        <v>2835485</v>
      </c>
      <c r="BE205" s="691">
        <v>2835485</v>
      </c>
      <c r="BF205" s="691">
        <v>2835485</v>
      </c>
      <c r="BG205" s="691">
        <v>2835485</v>
      </c>
      <c r="BH205" s="691">
        <v>2835485</v>
      </c>
      <c r="BI205" s="691">
        <v>2835485</v>
      </c>
      <c r="BJ205" s="691">
        <v>2835485</v>
      </c>
      <c r="BK205" s="691">
        <v>2835485</v>
      </c>
      <c r="BL205" s="691">
        <v>2835485</v>
      </c>
      <c r="BM205" s="691">
        <v>2835485</v>
      </c>
      <c r="BN205" s="691">
        <v>2835485</v>
      </c>
      <c r="BO205" s="691">
        <v>2835485</v>
      </c>
      <c r="BP205" s="691">
        <v>2835485</v>
      </c>
      <c r="BQ205" s="691">
        <v>0</v>
      </c>
      <c r="BR205" s="691"/>
      <c r="BS205" s="691">
        <v>0</v>
      </c>
      <c r="BT205" s="692">
        <v>0</v>
      </c>
    </row>
    <row r="206" spans="1:72">
      <c r="B206" s="752"/>
      <c r="C206" s="752" t="s">
        <v>735</v>
      </c>
      <c r="D206" s="752" t="s">
        <v>124</v>
      </c>
      <c r="E206" s="752"/>
      <c r="F206" s="752"/>
      <c r="G206" s="752"/>
      <c r="H206" s="889">
        <v>2017</v>
      </c>
      <c r="I206" s="639" t="s">
        <v>573</v>
      </c>
      <c r="J206" s="639" t="s">
        <v>585</v>
      </c>
      <c r="K206" s="628"/>
      <c r="L206" s="690"/>
      <c r="M206" s="691"/>
      <c r="N206" s="691"/>
      <c r="O206" s="691"/>
      <c r="P206" s="691"/>
      <c r="Q206" s="691"/>
      <c r="R206" s="691">
        <v>0</v>
      </c>
      <c r="S206" s="691">
        <v>0</v>
      </c>
      <c r="T206" s="691">
        <v>0</v>
      </c>
      <c r="U206" s="691">
        <v>0</v>
      </c>
      <c r="V206" s="691">
        <v>0</v>
      </c>
      <c r="W206" s="691">
        <v>0</v>
      </c>
      <c r="X206" s="691">
        <v>0</v>
      </c>
      <c r="Y206" s="691">
        <v>0</v>
      </c>
      <c r="Z206" s="691">
        <v>0</v>
      </c>
      <c r="AA206" s="691">
        <v>0</v>
      </c>
      <c r="AB206" s="691">
        <v>0</v>
      </c>
      <c r="AC206" s="691">
        <v>0</v>
      </c>
      <c r="AD206" s="691">
        <v>0</v>
      </c>
      <c r="AE206" s="691">
        <v>0</v>
      </c>
      <c r="AF206" s="691">
        <v>0</v>
      </c>
      <c r="AG206" s="691">
        <v>0</v>
      </c>
      <c r="AH206" s="691">
        <v>0</v>
      </c>
      <c r="AI206" s="691">
        <v>0</v>
      </c>
      <c r="AJ206" s="691">
        <v>0</v>
      </c>
      <c r="AK206" s="691">
        <v>0</v>
      </c>
      <c r="AL206" s="691">
        <v>0</v>
      </c>
      <c r="AM206" s="691">
        <v>0</v>
      </c>
      <c r="AN206" s="691">
        <v>0</v>
      </c>
      <c r="AO206" s="692">
        <v>0</v>
      </c>
      <c r="AP206" s="628"/>
      <c r="AQ206" s="690">
        <v>0</v>
      </c>
      <c r="AR206" s="691">
        <v>0</v>
      </c>
      <c r="AS206" s="691">
        <v>0</v>
      </c>
      <c r="AT206" s="691">
        <v>0</v>
      </c>
      <c r="AU206" s="691">
        <v>0</v>
      </c>
      <c r="AV206" s="691">
        <v>0</v>
      </c>
      <c r="AW206" s="691">
        <v>653</v>
      </c>
      <c r="AX206" s="691">
        <v>653</v>
      </c>
      <c r="AY206" s="691">
        <v>653</v>
      </c>
      <c r="AZ206" s="691">
        <v>0</v>
      </c>
      <c r="BA206" s="691">
        <v>0</v>
      </c>
      <c r="BB206" s="691">
        <v>0</v>
      </c>
      <c r="BC206" s="691">
        <v>0</v>
      </c>
      <c r="BD206" s="691">
        <v>0</v>
      </c>
      <c r="BE206" s="691">
        <v>0</v>
      </c>
      <c r="BF206" s="691">
        <v>0</v>
      </c>
      <c r="BG206" s="691">
        <v>0</v>
      </c>
      <c r="BH206" s="691">
        <v>0</v>
      </c>
      <c r="BI206" s="691">
        <v>0</v>
      </c>
      <c r="BJ206" s="691">
        <v>0</v>
      </c>
      <c r="BK206" s="691">
        <v>0</v>
      </c>
      <c r="BL206" s="691">
        <v>0</v>
      </c>
      <c r="BM206" s="691">
        <v>0</v>
      </c>
      <c r="BN206" s="691">
        <v>0</v>
      </c>
      <c r="BO206" s="691">
        <v>0</v>
      </c>
      <c r="BP206" s="691">
        <v>0</v>
      </c>
      <c r="BQ206" s="691">
        <v>0</v>
      </c>
      <c r="BR206" s="691">
        <v>0</v>
      </c>
      <c r="BS206" s="691">
        <v>0</v>
      </c>
      <c r="BT206" s="692">
        <v>0</v>
      </c>
    </row>
    <row r="207" spans="1:72">
      <c r="B207" s="752"/>
      <c r="C207" s="752" t="s">
        <v>769</v>
      </c>
      <c r="D207" s="752" t="s">
        <v>767</v>
      </c>
      <c r="E207" s="752"/>
      <c r="F207" s="752"/>
      <c r="G207" s="752"/>
      <c r="H207" s="889">
        <v>2017</v>
      </c>
      <c r="I207" s="639" t="s">
        <v>573</v>
      </c>
      <c r="J207" s="639" t="s">
        <v>585</v>
      </c>
      <c r="K207" s="628"/>
      <c r="L207" s="690"/>
      <c r="M207" s="691"/>
      <c r="N207" s="691"/>
      <c r="O207" s="691"/>
      <c r="P207" s="691"/>
      <c r="Q207" s="691"/>
      <c r="R207" s="691">
        <v>45</v>
      </c>
      <c r="S207" s="691">
        <v>45</v>
      </c>
      <c r="T207" s="691">
        <v>45</v>
      </c>
      <c r="U207" s="691">
        <v>45</v>
      </c>
      <c r="V207" s="691">
        <v>45</v>
      </c>
      <c r="W207" s="691">
        <v>45</v>
      </c>
      <c r="X207" s="691">
        <v>45</v>
      </c>
      <c r="Y207" s="691">
        <v>45</v>
      </c>
      <c r="Z207" s="691">
        <v>45</v>
      </c>
      <c r="AA207" s="691">
        <v>45</v>
      </c>
      <c r="AB207" s="691">
        <v>0</v>
      </c>
      <c r="AC207" s="691">
        <v>0</v>
      </c>
      <c r="AD207" s="691">
        <v>0</v>
      </c>
      <c r="AE207" s="691">
        <v>0</v>
      </c>
      <c r="AF207" s="691">
        <v>0</v>
      </c>
      <c r="AG207" s="691">
        <v>0</v>
      </c>
      <c r="AH207" s="691">
        <v>0</v>
      </c>
      <c r="AI207" s="691">
        <v>0</v>
      </c>
      <c r="AJ207" s="691">
        <v>0</v>
      </c>
      <c r="AK207" s="691">
        <v>0</v>
      </c>
      <c r="AL207" s="691">
        <v>0</v>
      </c>
      <c r="AM207" s="691">
        <v>0</v>
      </c>
      <c r="AN207" s="691">
        <v>0</v>
      </c>
      <c r="AO207" s="692">
        <v>0</v>
      </c>
      <c r="AP207" s="628"/>
      <c r="AQ207" s="690">
        <v>0</v>
      </c>
      <c r="AR207" s="691">
        <v>0</v>
      </c>
      <c r="AS207" s="691">
        <v>0</v>
      </c>
      <c r="AT207" s="691">
        <v>0</v>
      </c>
      <c r="AU207" s="691">
        <v>0</v>
      </c>
      <c r="AV207" s="691">
        <v>0</v>
      </c>
      <c r="AW207" s="691">
        <v>247986</v>
      </c>
      <c r="AX207" s="691">
        <v>247986</v>
      </c>
      <c r="AY207" s="691">
        <v>247986</v>
      </c>
      <c r="AZ207" s="691">
        <v>247986</v>
      </c>
      <c r="BA207" s="691">
        <v>247986</v>
      </c>
      <c r="BB207" s="691">
        <v>247986</v>
      </c>
      <c r="BC207" s="691">
        <v>247986</v>
      </c>
      <c r="BD207" s="691">
        <v>247986</v>
      </c>
      <c r="BE207" s="691">
        <v>247986</v>
      </c>
      <c r="BF207" s="691">
        <v>247986</v>
      </c>
      <c r="BG207" s="691">
        <v>0</v>
      </c>
      <c r="BH207" s="691">
        <v>0</v>
      </c>
      <c r="BI207" s="691">
        <v>0</v>
      </c>
      <c r="BJ207" s="691">
        <v>0</v>
      </c>
      <c r="BK207" s="691">
        <v>0</v>
      </c>
      <c r="BL207" s="691">
        <v>0</v>
      </c>
      <c r="BM207" s="691">
        <v>0</v>
      </c>
      <c r="BN207" s="691">
        <v>0</v>
      </c>
      <c r="BO207" s="691">
        <v>0</v>
      </c>
      <c r="BP207" s="691">
        <v>0</v>
      </c>
      <c r="BQ207" s="691">
        <v>0</v>
      </c>
      <c r="BR207" s="691">
        <v>0</v>
      </c>
      <c r="BS207" s="691">
        <v>0</v>
      </c>
      <c r="BT207" s="692">
        <v>0</v>
      </c>
    </row>
    <row r="208" spans="1:72">
      <c r="B208" s="752"/>
      <c r="C208" s="752" t="s">
        <v>770</v>
      </c>
      <c r="D208" s="752" t="s">
        <v>771</v>
      </c>
      <c r="E208" s="752"/>
      <c r="F208" s="752"/>
      <c r="G208" s="752"/>
      <c r="H208" s="889">
        <v>2017</v>
      </c>
      <c r="I208" s="639" t="s">
        <v>573</v>
      </c>
      <c r="J208" s="639" t="s">
        <v>585</v>
      </c>
      <c r="K208" s="628"/>
      <c r="L208" s="690"/>
      <c r="M208" s="691"/>
      <c r="N208" s="691"/>
      <c r="O208" s="691"/>
      <c r="P208" s="691"/>
      <c r="Q208" s="691"/>
      <c r="R208" s="691">
        <v>0</v>
      </c>
      <c r="S208" s="691">
        <v>0</v>
      </c>
      <c r="T208" s="691">
        <v>0</v>
      </c>
      <c r="U208" s="691">
        <v>0</v>
      </c>
      <c r="V208" s="691">
        <v>0</v>
      </c>
      <c r="W208" s="691">
        <v>0</v>
      </c>
      <c r="X208" s="691">
        <v>0</v>
      </c>
      <c r="Y208" s="691">
        <v>0</v>
      </c>
      <c r="Z208" s="691">
        <v>0</v>
      </c>
      <c r="AA208" s="691">
        <v>0</v>
      </c>
      <c r="AB208" s="691">
        <v>0</v>
      </c>
      <c r="AC208" s="691">
        <v>0</v>
      </c>
      <c r="AD208" s="691">
        <v>0</v>
      </c>
      <c r="AE208" s="691">
        <v>0</v>
      </c>
      <c r="AF208" s="691">
        <v>0</v>
      </c>
      <c r="AG208" s="691">
        <v>0</v>
      </c>
      <c r="AH208" s="691">
        <v>0</v>
      </c>
      <c r="AI208" s="691">
        <v>0</v>
      </c>
      <c r="AJ208" s="691">
        <v>0</v>
      </c>
      <c r="AK208" s="691">
        <v>0</v>
      </c>
      <c r="AL208" s="691">
        <v>0</v>
      </c>
      <c r="AM208" s="691">
        <v>0</v>
      </c>
      <c r="AN208" s="691">
        <v>0</v>
      </c>
      <c r="AO208" s="692">
        <v>0</v>
      </c>
      <c r="AP208" s="628"/>
      <c r="AQ208" s="690">
        <v>0</v>
      </c>
      <c r="AR208" s="691">
        <v>0</v>
      </c>
      <c r="AS208" s="691">
        <v>0</v>
      </c>
      <c r="AT208" s="691">
        <v>0</v>
      </c>
      <c r="AU208" s="691">
        <v>0</v>
      </c>
      <c r="AV208" s="691">
        <v>0</v>
      </c>
      <c r="AW208" s="691">
        <v>103685</v>
      </c>
      <c r="AX208" s="691">
        <v>103685</v>
      </c>
      <c r="AY208" s="691">
        <v>103685</v>
      </c>
      <c r="AZ208" s="691">
        <v>103685</v>
      </c>
      <c r="BA208" s="691">
        <v>103685</v>
      </c>
      <c r="BB208" s="691">
        <v>103685</v>
      </c>
      <c r="BC208" s="691">
        <v>103685</v>
      </c>
      <c r="BD208" s="691">
        <v>103685</v>
      </c>
      <c r="BE208" s="691">
        <v>0</v>
      </c>
      <c r="BF208" s="691">
        <v>0</v>
      </c>
      <c r="BG208" s="691">
        <v>0</v>
      </c>
      <c r="BH208" s="691">
        <v>0</v>
      </c>
      <c r="BI208" s="691">
        <v>0</v>
      </c>
      <c r="BJ208" s="691">
        <v>0</v>
      </c>
      <c r="BK208" s="691">
        <v>0</v>
      </c>
      <c r="BL208" s="691">
        <v>0</v>
      </c>
      <c r="BM208" s="691">
        <v>0</v>
      </c>
      <c r="BN208" s="691">
        <v>0</v>
      </c>
      <c r="BO208" s="691">
        <v>0</v>
      </c>
      <c r="BP208" s="691">
        <v>0</v>
      </c>
      <c r="BQ208" s="691">
        <v>0</v>
      </c>
      <c r="BR208" s="691">
        <v>0</v>
      </c>
      <c r="BS208" s="691">
        <v>0</v>
      </c>
      <c r="BT208" s="692">
        <v>0</v>
      </c>
    </row>
    <row r="209" spans="2:72">
      <c r="B209" s="752"/>
      <c r="C209" s="752" t="s">
        <v>770</v>
      </c>
      <c r="D209" s="752" t="s">
        <v>772</v>
      </c>
      <c r="E209" s="752"/>
      <c r="F209" s="752"/>
      <c r="G209" s="752"/>
      <c r="H209" s="889">
        <v>2017</v>
      </c>
      <c r="I209" s="639" t="s">
        <v>573</v>
      </c>
      <c r="J209" s="639" t="s">
        <v>585</v>
      </c>
      <c r="K209" s="628"/>
      <c r="L209" s="690"/>
      <c r="M209" s="691"/>
      <c r="N209" s="691"/>
      <c r="O209" s="691"/>
      <c r="P209" s="691"/>
      <c r="Q209" s="691"/>
      <c r="R209" s="691">
        <v>12</v>
      </c>
      <c r="S209" s="691">
        <v>12</v>
      </c>
      <c r="T209" s="691">
        <v>12</v>
      </c>
      <c r="U209" s="691">
        <v>12</v>
      </c>
      <c r="V209" s="691">
        <v>12</v>
      </c>
      <c r="W209" s="691">
        <v>11</v>
      </c>
      <c r="X209" s="691">
        <v>11</v>
      </c>
      <c r="Y209" s="691">
        <v>11</v>
      </c>
      <c r="Z209" s="691">
        <v>11</v>
      </c>
      <c r="AA209" s="691">
        <v>11</v>
      </c>
      <c r="AB209" s="691">
        <v>11</v>
      </c>
      <c r="AC209" s="691">
        <v>11</v>
      </c>
      <c r="AD209" s="691">
        <v>11</v>
      </c>
      <c r="AE209" s="691">
        <v>11</v>
      </c>
      <c r="AF209" s="691">
        <v>11</v>
      </c>
      <c r="AG209" s="691">
        <v>11</v>
      </c>
      <c r="AH209" s="691">
        <v>11</v>
      </c>
      <c r="AI209" s="691">
        <v>11</v>
      </c>
      <c r="AJ209" s="691">
        <v>7</v>
      </c>
      <c r="AK209" s="691">
        <v>1</v>
      </c>
      <c r="AL209" s="691">
        <v>0</v>
      </c>
      <c r="AM209" s="691">
        <v>0</v>
      </c>
      <c r="AN209" s="691">
        <v>0</v>
      </c>
      <c r="AO209" s="692">
        <v>0</v>
      </c>
      <c r="AP209" s="628"/>
      <c r="AQ209" s="690">
        <v>0</v>
      </c>
      <c r="AR209" s="691">
        <v>0</v>
      </c>
      <c r="AS209" s="691">
        <v>0</v>
      </c>
      <c r="AT209" s="691">
        <v>0</v>
      </c>
      <c r="AU209" s="691">
        <v>0</v>
      </c>
      <c r="AV209" s="691">
        <v>0</v>
      </c>
      <c r="AW209" s="691">
        <v>114341</v>
      </c>
      <c r="AX209" s="691">
        <v>114341</v>
      </c>
      <c r="AY209" s="691">
        <v>114341</v>
      </c>
      <c r="AZ209" s="691">
        <v>114341</v>
      </c>
      <c r="BA209" s="691">
        <v>112670</v>
      </c>
      <c r="BB209" s="691">
        <v>110661</v>
      </c>
      <c r="BC209" s="691">
        <v>110661</v>
      </c>
      <c r="BD209" s="691">
        <v>110661</v>
      </c>
      <c r="BE209" s="691">
        <v>110661</v>
      </c>
      <c r="BF209" s="691">
        <v>110661</v>
      </c>
      <c r="BG209" s="691">
        <v>110661</v>
      </c>
      <c r="BH209" s="691">
        <v>110237</v>
      </c>
      <c r="BI209" s="691">
        <v>110237</v>
      </c>
      <c r="BJ209" s="691">
        <v>110237</v>
      </c>
      <c r="BK209" s="691">
        <v>110237</v>
      </c>
      <c r="BL209" s="691">
        <v>109563</v>
      </c>
      <c r="BM209" s="691">
        <v>109563</v>
      </c>
      <c r="BN209" s="691">
        <v>109315</v>
      </c>
      <c r="BO209" s="691">
        <v>105830</v>
      </c>
      <c r="BP209" s="691">
        <v>3020</v>
      </c>
      <c r="BQ209" s="691">
        <v>176</v>
      </c>
      <c r="BR209" s="691">
        <v>176</v>
      </c>
      <c r="BS209" s="691">
        <v>0</v>
      </c>
      <c r="BT209" s="692">
        <v>0</v>
      </c>
    </row>
    <row r="210" spans="2:72">
      <c r="B210" s="752"/>
      <c r="C210" s="752" t="s">
        <v>29</v>
      </c>
      <c r="D210" s="752" t="s">
        <v>765</v>
      </c>
      <c r="E210" s="752"/>
      <c r="F210" s="752"/>
      <c r="G210" s="752"/>
      <c r="H210" s="889">
        <v>2017</v>
      </c>
      <c r="I210" s="639" t="s">
        <v>574</v>
      </c>
      <c r="J210" s="639" t="s">
        <v>578</v>
      </c>
      <c r="K210" s="628"/>
      <c r="L210" s="754"/>
      <c r="M210" s="755"/>
      <c r="N210" s="755"/>
      <c r="O210" s="755"/>
      <c r="P210" s="755"/>
      <c r="Q210" s="755"/>
      <c r="R210" s="755"/>
      <c r="S210" s="755"/>
      <c r="T210" s="755"/>
      <c r="U210" s="755"/>
      <c r="V210" s="755"/>
      <c r="W210" s="755"/>
      <c r="X210" s="755"/>
      <c r="Y210" s="755"/>
      <c r="Z210" s="755"/>
      <c r="AA210" s="755"/>
      <c r="AB210" s="755"/>
      <c r="AC210" s="755"/>
      <c r="AD210" s="755"/>
      <c r="AE210" s="755"/>
      <c r="AF210" s="755"/>
      <c r="AG210" s="755"/>
      <c r="AH210" s="755"/>
      <c r="AI210" s="755"/>
      <c r="AJ210" s="755"/>
      <c r="AK210" s="755"/>
      <c r="AL210" s="755"/>
      <c r="AM210" s="755"/>
      <c r="AN210" s="755"/>
      <c r="AO210" s="756"/>
      <c r="AP210" s="50"/>
      <c r="AQ210" s="754"/>
      <c r="AR210" s="755"/>
      <c r="AS210" s="755"/>
      <c r="AT210" s="755"/>
      <c r="AU210" s="755"/>
      <c r="AV210" s="757"/>
      <c r="AW210" s="757">
        <v>139897</v>
      </c>
      <c r="AX210" s="934">
        <f t="shared" ref="AX210:AY214" si="0">AW210+($AZ210-$AW210)/3</f>
        <v>139897</v>
      </c>
      <c r="AY210" s="934">
        <f t="shared" si="0"/>
        <v>139897</v>
      </c>
      <c r="AZ210" s="934">
        <v>139897</v>
      </c>
      <c r="BA210" s="934">
        <v>139897</v>
      </c>
      <c r="BB210" s="934">
        <v>139897</v>
      </c>
      <c r="BC210" s="755"/>
      <c r="BD210" s="755"/>
      <c r="BE210" s="755"/>
      <c r="BF210" s="755"/>
      <c r="BG210" s="755"/>
      <c r="BH210" s="755"/>
      <c r="BI210" s="755"/>
      <c r="BJ210" s="755"/>
      <c r="BK210" s="755"/>
      <c r="BL210" s="755"/>
      <c r="BM210" s="755"/>
      <c r="BN210" s="755"/>
      <c r="BO210" s="755"/>
      <c r="BP210" s="755"/>
      <c r="BQ210" s="755"/>
      <c r="BR210" s="755"/>
      <c r="BS210" s="755"/>
      <c r="BT210" s="756"/>
    </row>
    <row r="211" spans="2:72">
      <c r="B211" s="752"/>
      <c r="C211" s="752" t="s">
        <v>29</v>
      </c>
      <c r="D211" s="752" t="s">
        <v>113</v>
      </c>
      <c r="E211" s="752"/>
      <c r="F211" s="752"/>
      <c r="G211" s="752"/>
      <c r="H211" s="889">
        <v>2017</v>
      </c>
      <c r="I211" s="639" t="s">
        <v>574</v>
      </c>
      <c r="J211" s="639" t="s">
        <v>578</v>
      </c>
      <c r="K211" s="628"/>
      <c r="L211" s="754"/>
      <c r="M211" s="755"/>
      <c r="N211" s="755"/>
      <c r="O211" s="755"/>
      <c r="P211" s="755"/>
      <c r="Q211" s="755"/>
      <c r="R211" s="755"/>
      <c r="S211" s="755"/>
      <c r="T211" s="755"/>
      <c r="U211" s="755"/>
      <c r="V211" s="755"/>
      <c r="W211" s="755"/>
      <c r="X211" s="755"/>
      <c r="Y211" s="755"/>
      <c r="Z211" s="755"/>
      <c r="AA211" s="755"/>
      <c r="AB211" s="755"/>
      <c r="AC211" s="755"/>
      <c r="AD211" s="755"/>
      <c r="AE211" s="755"/>
      <c r="AF211" s="755"/>
      <c r="AG211" s="755"/>
      <c r="AH211" s="755"/>
      <c r="AI211" s="755"/>
      <c r="AJ211" s="755"/>
      <c r="AK211" s="755"/>
      <c r="AL211" s="755"/>
      <c r="AM211" s="755"/>
      <c r="AN211" s="755"/>
      <c r="AO211" s="756"/>
      <c r="AP211" s="50"/>
      <c r="AQ211" s="754"/>
      <c r="AR211" s="755"/>
      <c r="AS211" s="755"/>
      <c r="AT211" s="755"/>
      <c r="AU211" s="755"/>
      <c r="AV211" s="757"/>
      <c r="AW211" s="757">
        <v>9942</v>
      </c>
      <c r="AX211" s="934">
        <f>+AW211*0.992</f>
        <v>9862.4639999999999</v>
      </c>
      <c r="AY211" s="934">
        <f>+AX211</f>
        <v>9862.4639999999999</v>
      </c>
      <c r="AZ211" s="934">
        <f>+AY211</f>
        <v>9862.4639999999999</v>
      </c>
      <c r="BA211" s="934">
        <f t="shared" ref="BA211:BB211" si="1">+AZ211</f>
        <v>9862.4639999999999</v>
      </c>
      <c r="BB211" s="934">
        <f t="shared" si="1"/>
        <v>9862.4639999999999</v>
      </c>
      <c r="BC211" s="755"/>
      <c r="BD211" s="755"/>
      <c r="BE211" s="755"/>
      <c r="BF211" s="755"/>
      <c r="BG211" s="755"/>
      <c r="BH211" s="755"/>
      <c r="BI211" s="755"/>
      <c r="BJ211" s="755"/>
      <c r="BK211" s="755"/>
      <c r="BL211" s="755"/>
      <c r="BM211" s="755"/>
      <c r="BN211" s="755"/>
      <c r="BO211" s="755"/>
      <c r="BP211" s="755"/>
      <c r="BQ211" s="755"/>
      <c r="BR211" s="755"/>
      <c r="BS211" s="755"/>
      <c r="BT211" s="756"/>
    </row>
    <row r="212" spans="2:72">
      <c r="B212" s="752"/>
      <c r="C212" s="752" t="s">
        <v>735</v>
      </c>
      <c r="D212" s="752" t="s">
        <v>118</v>
      </c>
      <c r="E212" s="752"/>
      <c r="F212" s="752"/>
      <c r="G212" s="752"/>
      <c r="H212" s="889">
        <v>2017</v>
      </c>
      <c r="I212" s="639" t="s">
        <v>574</v>
      </c>
      <c r="J212" s="639" t="s">
        <v>578</v>
      </c>
      <c r="K212" s="628"/>
      <c r="L212" s="754"/>
      <c r="M212" s="755"/>
      <c r="N212" s="755"/>
      <c r="O212" s="755"/>
      <c r="P212" s="755"/>
      <c r="Q212" s="755"/>
      <c r="R212" s="755"/>
      <c r="S212" s="755"/>
      <c r="T212" s="755"/>
      <c r="U212" s="755"/>
      <c r="V212" s="755"/>
      <c r="W212" s="755"/>
      <c r="X212" s="755"/>
      <c r="Y212" s="755"/>
      <c r="Z212" s="755"/>
      <c r="AA212" s="755"/>
      <c r="AB212" s="755"/>
      <c r="AC212" s="755"/>
      <c r="AD212" s="755"/>
      <c r="AE212" s="755"/>
      <c r="AF212" s="755"/>
      <c r="AG212" s="755"/>
      <c r="AH212" s="755"/>
      <c r="AI212" s="755"/>
      <c r="AJ212" s="755"/>
      <c r="AK212" s="755"/>
      <c r="AL212" s="755"/>
      <c r="AM212" s="755"/>
      <c r="AN212" s="755"/>
      <c r="AO212" s="756"/>
      <c r="AP212" s="50"/>
      <c r="AQ212" s="754"/>
      <c r="AR212" s="755"/>
      <c r="AS212" s="755"/>
      <c r="AT212" s="755"/>
      <c r="AU212" s="755"/>
      <c r="AV212" s="757"/>
      <c r="AW212" s="757">
        <v>1500275</v>
      </c>
      <c r="AX212" s="934">
        <f>+AW212</f>
        <v>1500275</v>
      </c>
      <c r="AY212" s="934">
        <f>+AX212*0.995</f>
        <v>1492773.625</v>
      </c>
      <c r="AZ212" s="934">
        <f>+AY212</f>
        <v>1492773.625</v>
      </c>
      <c r="BA212" s="934">
        <f t="shared" ref="BA212:BB212" si="2">+AZ212</f>
        <v>1492773.625</v>
      </c>
      <c r="BB212" s="934">
        <f t="shared" si="2"/>
        <v>1492773.625</v>
      </c>
      <c r="BC212" s="755"/>
      <c r="BD212" s="755"/>
      <c r="BE212" s="755"/>
      <c r="BF212" s="755"/>
      <c r="BG212" s="755"/>
      <c r="BH212" s="755"/>
      <c r="BI212" s="755"/>
      <c r="BJ212" s="755"/>
      <c r="BK212" s="755"/>
      <c r="BL212" s="755"/>
      <c r="BM212" s="755"/>
      <c r="BN212" s="755"/>
      <c r="BO212" s="755"/>
      <c r="BP212" s="755"/>
      <c r="BQ212" s="755"/>
      <c r="BR212" s="755"/>
      <c r="BS212" s="755"/>
      <c r="BT212" s="756"/>
    </row>
    <row r="213" spans="2:72">
      <c r="B213" s="752"/>
      <c r="C213" s="752" t="s">
        <v>735</v>
      </c>
      <c r="D213" s="752" t="s">
        <v>120</v>
      </c>
      <c r="E213" s="752"/>
      <c r="F213" s="752"/>
      <c r="G213" s="752"/>
      <c r="H213" s="889">
        <v>2017</v>
      </c>
      <c r="I213" s="639" t="s">
        <v>574</v>
      </c>
      <c r="J213" s="639" t="s">
        <v>578</v>
      </c>
      <c r="K213" s="628"/>
      <c r="L213" s="754"/>
      <c r="M213" s="755"/>
      <c r="N213" s="755"/>
      <c r="O213" s="755"/>
      <c r="P213" s="755"/>
      <c r="Q213" s="755"/>
      <c r="R213" s="755"/>
      <c r="S213" s="755"/>
      <c r="T213" s="755"/>
      <c r="U213" s="755"/>
      <c r="V213" s="755"/>
      <c r="W213" s="755"/>
      <c r="X213" s="755"/>
      <c r="Y213" s="755"/>
      <c r="Z213" s="755"/>
      <c r="AA213" s="755"/>
      <c r="AB213" s="755"/>
      <c r="AC213" s="755"/>
      <c r="AD213" s="755"/>
      <c r="AE213" s="755"/>
      <c r="AF213" s="755"/>
      <c r="AG213" s="755"/>
      <c r="AH213" s="755"/>
      <c r="AI213" s="755"/>
      <c r="AJ213" s="755"/>
      <c r="AK213" s="755"/>
      <c r="AL213" s="755"/>
      <c r="AM213" s="755"/>
      <c r="AN213" s="755"/>
      <c r="AO213" s="756"/>
      <c r="AP213" s="50"/>
      <c r="AQ213" s="754"/>
      <c r="AR213" s="755"/>
      <c r="AS213" s="755"/>
      <c r="AT213" s="755"/>
      <c r="AU213" s="755"/>
      <c r="AV213" s="757"/>
      <c r="AW213" s="757">
        <v>4445</v>
      </c>
      <c r="AX213" s="934">
        <f>+AW213</f>
        <v>4445</v>
      </c>
      <c r="AY213" s="934">
        <f>+AX213*0.99</f>
        <v>4400.55</v>
      </c>
      <c r="AZ213" s="934">
        <f>+AY213</f>
        <v>4400.55</v>
      </c>
      <c r="BA213" s="934">
        <f t="shared" ref="BA213:BB213" si="3">+AZ213</f>
        <v>4400.55</v>
      </c>
      <c r="BB213" s="934">
        <f t="shared" si="3"/>
        <v>4400.55</v>
      </c>
      <c r="BC213" s="755"/>
      <c r="BD213" s="755"/>
      <c r="BE213" s="755"/>
      <c r="BF213" s="755"/>
      <c r="BG213" s="755"/>
      <c r="BH213" s="755"/>
      <c r="BI213" s="755"/>
      <c r="BJ213" s="755"/>
      <c r="BK213" s="755"/>
      <c r="BL213" s="755"/>
      <c r="BM213" s="755"/>
      <c r="BN213" s="755"/>
      <c r="BO213" s="755"/>
      <c r="BP213" s="755"/>
      <c r="BQ213" s="755"/>
      <c r="BR213" s="755"/>
      <c r="BS213" s="755"/>
      <c r="BT213" s="756"/>
    </row>
    <row r="214" spans="2:72">
      <c r="B214" s="752"/>
      <c r="C214" s="752" t="s">
        <v>735</v>
      </c>
      <c r="D214" s="752" t="s">
        <v>122</v>
      </c>
      <c r="E214" s="752"/>
      <c r="F214" s="752"/>
      <c r="G214" s="752"/>
      <c r="H214" s="889">
        <v>2017</v>
      </c>
      <c r="I214" s="639" t="s">
        <v>574</v>
      </c>
      <c r="J214" s="639" t="s">
        <v>578</v>
      </c>
      <c r="K214" s="628"/>
      <c r="L214" s="754"/>
      <c r="M214" s="755"/>
      <c r="N214" s="755"/>
      <c r="O214" s="755"/>
      <c r="P214" s="755"/>
      <c r="Q214" s="755"/>
      <c r="R214" s="755"/>
      <c r="S214" s="755"/>
      <c r="T214" s="755"/>
      <c r="U214" s="755"/>
      <c r="V214" s="755"/>
      <c r="W214" s="755"/>
      <c r="X214" s="755"/>
      <c r="Y214" s="755"/>
      <c r="Z214" s="755"/>
      <c r="AA214" s="755"/>
      <c r="AB214" s="755"/>
      <c r="AC214" s="755"/>
      <c r="AD214" s="755"/>
      <c r="AE214" s="755"/>
      <c r="AF214" s="755"/>
      <c r="AG214" s="755"/>
      <c r="AH214" s="755"/>
      <c r="AI214" s="755"/>
      <c r="AJ214" s="755"/>
      <c r="AK214" s="755"/>
      <c r="AL214" s="755"/>
      <c r="AM214" s="755"/>
      <c r="AN214" s="755"/>
      <c r="AO214" s="756"/>
      <c r="AP214" s="50"/>
      <c r="AQ214" s="754"/>
      <c r="AR214" s="755"/>
      <c r="AS214" s="755"/>
      <c r="AT214" s="755"/>
      <c r="AU214" s="755"/>
      <c r="AV214" s="757"/>
      <c r="AW214" s="757">
        <v>1134177</v>
      </c>
      <c r="AX214" s="934">
        <f t="shared" si="0"/>
        <v>1134177</v>
      </c>
      <c r="AY214" s="934">
        <f t="shared" si="0"/>
        <v>1134177</v>
      </c>
      <c r="AZ214" s="934">
        <v>1134177</v>
      </c>
      <c r="BA214" s="934">
        <v>1134177</v>
      </c>
      <c r="BB214" s="934">
        <v>1134177</v>
      </c>
      <c r="BC214" s="755"/>
      <c r="BD214" s="755"/>
      <c r="BE214" s="755"/>
      <c r="BF214" s="755"/>
      <c r="BG214" s="755"/>
      <c r="BH214" s="755"/>
      <c r="BI214" s="755"/>
      <c r="BJ214" s="755"/>
      <c r="BK214" s="755"/>
      <c r="BL214" s="755"/>
      <c r="BM214" s="755"/>
      <c r="BN214" s="755"/>
      <c r="BO214" s="755"/>
      <c r="BP214" s="755"/>
      <c r="BQ214" s="755"/>
      <c r="BR214" s="755"/>
      <c r="BS214" s="755"/>
      <c r="BT214" s="756"/>
    </row>
    <row r="215" spans="2:72">
      <c r="B215" s="752"/>
      <c r="C215" s="752" t="s">
        <v>29</v>
      </c>
      <c r="D215" s="752" t="s">
        <v>768</v>
      </c>
      <c r="E215" s="752"/>
      <c r="F215" s="752"/>
      <c r="G215" s="752"/>
      <c r="H215" s="889">
        <v>2018</v>
      </c>
      <c r="I215" s="639" t="s">
        <v>574</v>
      </c>
      <c r="J215" s="639" t="s">
        <v>585</v>
      </c>
      <c r="K215" s="628"/>
      <c r="L215" s="754"/>
      <c r="M215" s="755"/>
      <c r="N215" s="755"/>
      <c r="O215" s="755"/>
      <c r="P215" s="755"/>
      <c r="Q215" s="755"/>
      <c r="R215" s="755"/>
      <c r="S215" s="755"/>
      <c r="T215" s="755"/>
      <c r="U215" s="755"/>
      <c r="V215" s="755"/>
      <c r="W215" s="755"/>
      <c r="X215" s="755"/>
      <c r="Y215" s="755"/>
      <c r="Z215" s="755"/>
      <c r="AA215" s="755"/>
      <c r="AB215" s="755"/>
      <c r="AC215" s="755"/>
      <c r="AD215" s="755"/>
      <c r="AE215" s="755"/>
      <c r="AF215" s="755"/>
      <c r="AG215" s="755"/>
      <c r="AH215" s="755"/>
      <c r="AI215" s="755"/>
      <c r="AJ215" s="755"/>
      <c r="AK215" s="755"/>
      <c r="AL215" s="755"/>
      <c r="AM215" s="755"/>
      <c r="AN215" s="755"/>
      <c r="AO215" s="756"/>
      <c r="AP215" s="50"/>
      <c r="AQ215" s="754"/>
      <c r="AR215" s="755"/>
      <c r="AS215" s="755"/>
      <c r="AT215" s="755"/>
      <c r="AU215" s="755"/>
      <c r="AV215" s="755"/>
      <c r="AW215" s="755"/>
      <c r="AX215" s="757">
        <v>2837956</v>
      </c>
      <c r="AY215" s="934">
        <v>2837956.8024602993</v>
      </c>
      <c r="AZ215" s="934">
        <v>2837956.8024602993</v>
      </c>
      <c r="BA215" s="934">
        <v>2837956.8024602993</v>
      </c>
      <c r="BB215" s="934">
        <v>2837956.8024602993</v>
      </c>
      <c r="BC215" s="934">
        <v>2837956.8024602993</v>
      </c>
      <c r="BD215" s="755"/>
      <c r="BE215" s="755"/>
      <c r="BF215" s="755"/>
      <c r="BG215" s="755"/>
      <c r="BH215" s="755"/>
      <c r="BI215" s="755"/>
      <c r="BJ215" s="755"/>
      <c r="BK215" s="755"/>
      <c r="BL215" s="755"/>
      <c r="BM215" s="755"/>
      <c r="BN215" s="755"/>
      <c r="BO215" s="755"/>
      <c r="BP215" s="755"/>
      <c r="BQ215" s="755"/>
      <c r="BR215" s="755"/>
      <c r="BS215" s="755"/>
      <c r="BT215" s="756"/>
    </row>
    <row r="216" spans="2:72">
      <c r="B216" s="752"/>
      <c r="C216" s="752" t="s">
        <v>29</v>
      </c>
      <c r="D216" s="752" t="s">
        <v>765</v>
      </c>
      <c r="E216" s="752"/>
      <c r="F216" s="752"/>
      <c r="G216" s="752"/>
      <c r="H216" s="889">
        <v>2018</v>
      </c>
      <c r="I216" s="639" t="s">
        <v>574</v>
      </c>
      <c r="J216" s="639" t="s">
        <v>585</v>
      </c>
      <c r="K216" s="628"/>
      <c r="L216" s="754"/>
      <c r="M216" s="755"/>
      <c r="N216" s="755"/>
      <c r="O216" s="755"/>
      <c r="P216" s="755"/>
      <c r="Q216" s="755"/>
      <c r="R216" s="755"/>
      <c r="S216" s="755"/>
      <c r="T216" s="755"/>
      <c r="U216" s="755"/>
      <c r="V216" s="755"/>
      <c r="W216" s="755"/>
      <c r="X216" s="755"/>
      <c r="Y216" s="755"/>
      <c r="Z216" s="755"/>
      <c r="AA216" s="755"/>
      <c r="AB216" s="755"/>
      <c r="AC216" s="755"/>
      <c r="AD216" s="755"/>
      <c r="AE216" s="755"/>
      <c r="AF216" s="755"/>
      <c r="AG216" s="755"/>
      <c r="AH216" s="755"/>
      <c r="AI216" s="755"/>
      <c r="AJ216" s="755"/>
      <c r="AK216" s="755"/>
      <c r="AL216" s="755"/>
      <c r="AM216" s="755"/>
      <c r="AN216" s="755"/>
      <c r="AO216" s="756"/>
      <c r="AP216" s="50"/>
      <c r="AQ216" s="754"/>
      <c r="AR216" s="755"/>
      <c r="AS216" s="755"/>
      <c r="AT216" s="755"/>
      <c r="AU216" s="755"/>
      <c r="AV216" s="755"/>
      <c r="AW216" s="755"/>
      <c r="AX216" s="757">
        <v>1043958</v>
      </c>
      <c r="AY216" s="934">
        <v>1043958</v>
      </c>
      <c r="AZ216" s="934">
        <v>1043958</v>
      </c>
      <c r="BA216" s="934">
        <v>1043958</v>
      </c>
      <c r="BB216" s="934">
        <v>1043958</v>
      </c>
      <c r="BC216" s="934">
        <v>1043958</v>
      </c>
      <c r="BD216" s="755"/>
      <c r="BE216" s="755"/>
      <c r="BF216" s="755"/>
      <c r="BG216" s="755"/>
      <c r="BH216" s="755"/>
      <c r="BI216" s="755"/>
      <c r="BJ216" s="755"/>
      <c r="BK216" s="755"/>
      <c r="BL216" s="755"/>
      <c r="BM216" s="755"/>
      <c r="BN216" s="755"/>
      <c r="BO216" s="755"/>
      <c r="BP216" s="755"/>
      <c r="BQ216" s="755"/>
      <c r="BR216" s="755"/>
      <c r="BS216" s="755"/>
      <c r="BT216" s="756"/>
    </row>
    <row r="217" spans="2:72">
      <c r="B217" s="752"/>
      <c r="C217" s="752" t="s">
        <v>29</v>
      </c>
      <c r="D217" s="752" t="s">
        <v>115</v>
      </c>
      <c r="E217" s="752"/>
      <c r="F217" s="752"/>
      <c r="G217" s="752"/>
      <c r="H217" s="889">
        <v>2018</v>
      </c>
      <c r="I217" s="639" t="s">
        <v>574</v>
      </c>
      <c r="J217" s="639" t="s">
        <v>585</v>
      </c>
      <c r="K217" s="628"/>
      <c r="L217" s="754"/>
      <c r="M217" s="755"/>
      <c r="N217" s="755"/>
      <c r="O217" s="755"/>
      <c r="P217" s="755"/>
      <c r="Q217" s="755"/>
      <c r="R217" s="755"/>
      <c r="S217" s="755"/>
      <c r="T217" s="755"/>
      <c r="U217" s="755"/>
      <c r="V217" s="755"/>
      <c r="W217" s="755"/>
      <c r="X217" s="755"/>
      <c r="Y217" s="755"/>
      <c r="Z217" s="755"/>
      <c r="AA217" s="755"/>
      <c r="AB217" s="755"/>
      <c r="AC217" s="755"/>
      <c r="AD217" s="755"/>
      <c r="AE217" s="755"/>
      <c r="AF217" s="755"/>
      <c r="AG217" s="755"/>
      <c r="AH217" s="755"/>
      <c r="AI217" s="755"/>
      <c r="AJ217" s="755"/>
      <c r="AK217" s="755"/>
      <c r="AL217" s="755"/>
      <c r="AM217" s="755"/>
      <c r="AN217" s="755"/>
      <c r="AO217" s="756"/>
      <c r="AP217" s="50"/>
      <c r="AQ217" s="754"/>
      <c r="AR217" s="755"/>
      <c r="AS217" s="755"/>
      <c r="AT217" s="755"/>
      <c r="AU217" s="755"/>
      <c r="AV217" s="755"/>
      <c r="AW217" s="755"/>
      <c r="AX217" s="757">
        <v>7952</v>
      </c>
      <c r="AY217" s="934">
        <v>7952</v>
      </c>
      <c r="AZ217" s="934">
        <v>7952</v>
      </c>
      <c r="BA217" s="934">
        <v>7952</v>
      </c>
      <c r="BB217" s="934">
        <v>7952</v>
      </c>
      <c r="BC217" s="934">
        <v>7952</v>
      </c>
      <c r="BD217" s="755"/>
      <c r="BE217" s="755"/>
      <c r="BF217" s="755"/>
      <c r="BG217" s="755"/>
      <c r="BH217" s="755"/>
      <c r="BI217" s="755"/>
      <c r="BJ217" s="755"/>
      <c r="BK217" s="755"/>
      <c r="BL217" s="755"/>
      <c r="BM217" s="755"/>
      <c r="BN217" s="755"/>
      <c r="BO217" s="755"/>
      <c r="BP217" s="755"/>
      <c r="BQ217" s="755"/>
      <c r="BR217" s="755"/>
      <c r="BS217" s="755"/>
      <c r="BT217" s="756"/>
    </row>
    <row r="218" spans="2:72">
      <c r="B218" s="752"/>
      <c r="C218" s="752" t="s">
        <v>735</v>
      </c>
      <c r="D218" s="752" t="s">
        <v>118</v>
      </c>
      <c r="E218" s="752"/>
      <c r="F218" s="752"/>
      <c r="G218" s="752"/>
      <c r="H218" s="889">
        <v>2018</v>
      </c>
      <c r="I218" s="639" t="s">
        <v>574</v>
      </c>
      <c r="J218" s="639" t="s">
        <v>585</v>
      </c>
      <c r="K218" s="628"/>
      <c r="L218" s="754"/>
      <c r="M218" s="755"/>
      <c r="N218" s="755"/>
      <c r="O218" s="755"/>
      <c r="P218" s="755"/>
      <c r="Q218" s="755"/>
      <c r="R218" s="755"/>
      <c r="S218" s="755"/>
      <c r="T218" s="755"/>
      <c r="U218" s="755"/>
      <c r="V218" s="755"/>
      <c r="W218" s="755"/>
      <c r="X218" s="755"/>
      <c r="Y218" s="755"/>
      <c r="Z218" s="755"/>
      <c r="AA218" s="755"/>
      <c r="AB218" s="755"/>
      <c r="AC218" s="755"/>
      <c r="AD218" s="755"/>
      <c r="AE218" s="755"/>
      <c r="AF218" s="755"/>
      <c r="AG218" s="755"/>
      <c r="AH218" s="755"/>
      <c r="AI218" s="755"/>
      <c r="AJ218" s="755"/>
      <c r="AK218" s="755"/>
      <c r="AL218" s="755"/>
      <c r="AM218" s="755"/>
      <c r="AN218" s="755"/>
      <c r="AO218" s="756"/>
      <c r="AP218" s="50"/>
      <c r="AQ218" s="754"/>
      <c r="AR218" s="755"/>
      <c r="AS218" s="755"/>
      <c r="AT218" s="755"/>
      <c r="AU218" s="755"/>
      <c r="AV218" s="755"/>
      <c r="AW218" s="755"/>
      <c r="AX218" s="757">
        <v>8990946</v>
      </c>
      <c r="AY218" s="934">
        <v>8946485</v>
      </c>
      <c r="AZ218" s="934">
        <v>8946485</v>
      </c>
      <c r="BA218" s="934">
        <v>8946485</v>
      </c>
      <c r="BB218" s="934">
        <v>8946485</v>
      </c>
      <c r="BC218" s="934">
        <v>8946485</v>
      </c>
      <c r="BD218" s="755"/>
      <c r="BE218" s="755"/>
      <c r="BF218" s="755"/>
      <c r="BG218" s="755"/>
      <c r="BH218" s="755"/>
      <c r="BI218" s="755"/>
      <c r="BJ218" s="755"/>
      <c r="BK218" s="755"/>
      <c r="BL218" s="755"/>
      <c r="BM218" s="755"/>
      <c r="BN218" s="755"/>
      <c r="BO218" s="755"/>
      <c r="BP218" s="755"/>
      <c r="BQ218" s="755"/>
      <c r="BR218" s="755"/>
      <c r="BS218" s="755"/>
      <c r="BT218" s="756"/>
    </row>
    <row r="219" spans="2:72">
      <c r="B219" s="752"/>
      <c r="C219" s="752" t="s">
        <v>735</v>
      </c>
      <c r="D219" s="752" t="s">
        <v>119</v>
      </c>
      <c r="E219" s="752"/>
      <c r="F219" s="752"/>
      <c r="G219" s="752"/>
      <c r="H219" s="889">
        <v>2018</v>
      </c>
      <c r="I219" s="639" t="s">
        <v>574</v>
      </c>
      <c r="J219" s="639" t="s">
        <v>585</v>
      </c>
      <c r="K219" s="628"/>
      <c r="L219" s="754"/>
      <c r="M219" s="755"/>
      <c r="N219" s="755"/>
      <c r="O219" s="755"/>
      <c r="P219" s="755"/>
      <c r="Q219" s="755"/>
      <c r="R219" s="755"/>
      <c r="S219" s="755"/>
      <c r="T219" s="755"/>
      <c r="U219" s="755"/>
      <c r="V219" s="755"/>
      <c r="W219" s="755"/>
      <c r="X219" s="755"/>
      <c r="Y219" s="755"/>
      <c r="Z219" s="755"/>
      <c r="AA219" s="755"/>
      <c r="AB219" s="755"/>
      <c r="AC219" s="755"/>
      <c r="AD219" s="755"/>
      <c r="AE219" s="755"/>
      <c r="AF219" s="755"/>
      <c r="AG219" s="755"/>
      <c r="AH219" s="755"/>
      <c r="AI219" s="755"/>
      <c r="AJ219" s="755"/>
      <c r="AK219" s="755"/>
      <c r="AL219" s="755"/>
      <c r="AM219" s="755"/>
      <c r="AN219" s="755"/>
      <c r="AO219" s="756"/>
      <c r="AP219" s="50"/>
      <c r="AQ219" s="754"/>
      <c r="AR219" s="755"/>
      <c r="AS219" s="755"/>
      <c r="AT219" s="755"/>
      <c r="AU219" s="755"/>
      <c r="AV219" s="755"/>
      <c r="AW219" s="755"/>
      <c r="AX219" s="757">
        <v>659987</v>
      </c>
      <c r="AY219" s="934">
        <v>424364</v>
      </c>
      <c r="AZ219" s="934">
        <v>424364</v>
      </c>
      <c r="BA219" s="934">
        <v>424364</v>
      </c>
      <c r="BB219" s="934">
        <v>424364</v>
      </c>
      <c r="BC219" s="934">
        <v>424364</v>
      </c>
      <c r="BD219" s="755"/>
      <c r="BE219" s="755"/>
      <c r="BF219" s="755"/>
      <c r="BG219" s="755"/>
      <c r="BH219" s="755"/>
      <c r="BI219" s="755"/>
      <c r="BJ219" s="755"/>
      <c r="BK219" s="755"/>
      <c r="BL219" s="755"/>
      <c r="BM219" s="755"/>
      <c r="BN219" s="755"/>
      <c r="BO219" s="755"/>
      <c r="BP219" s="755"/>
      <c r="BQ219" s="755"/>
      <c r="BR219" s="755"/>
      <c r="BS219" s="755"/>
      <c r="BT219" s="756"/>
    </row>
    <row r="220" spans="2:72">
      <c r="B220" s="752"/>
      <c r="C220" s="752" t="s">
        <v>773</v>
      </c>
      <c r="D220" s="752" t="s">
        <v>774</v>
      </c>
      <c r="E220" s="752"/>
      <c r="F220" s="752"/>
      <c r="G220" s="752"/>
      <c r="H220" s="889">
        <v>2018</v>
      </c>
      <c r="I220" s="639" t="s">
        <v>574</v>
      </c>
      <c r="J220" s="639" t="s">
        <v>585</v>
      </c>
      <c r="K220" s="628"/>
      <c r="L220" s="754"/>
      <c r="M220" s="755"/>
      <c r="N220" s="755"/>
      <c r="O220" s="755"/>
      <c r="P220" s="755"/>
      <c r="Q220" s="755"/>
      <c r="R220" s="755"/>
      <c r="S220" s="755"/>
      <c r="T220" s="755"/>
      <c r="U220" s="755"/>
      <c r="V220" s="755"/>
      <c r="W220" s="755"/>
      <c r="X220" s="755"/>
      <c r="Y220" s="755"/>
      <c r="Z220" s="755"/>
      <c r="AA220" s="755"/>
      <c r="AB220" s="755"/>
      <c r="AC220" s="755"/>
      <c r="AD220" s="755"/>
      <c r="AE220" s="755"/>
      <c r="AF220" s="755"/>
      <c r="AG220" s="755"/>
      <c r="AH220" s="755"/>
      <c r="AI220" s="755"/>
      <c r="AJ220" s="755"/>
      <c r="AK220" s="755"/>
      <c r="AL220" s="755"/>
      <c r="AM220" s="755"/>
      <c r="AN220" s="755"/>
      <c r="AO220" s="756"/>
      <c r="AP220" s="50"/>
      <c r="AQ220" s="754"/>
      <c r="AR220" s="755"/>
      <c r="AS220" s="755"/>
      <c r="AT220" s="755"/>
      <c r="AU220" s="755"/>
      <c r="AV220" s="755"/>
      <c r="AW220" s="755"/>
      <c r="AX220" s="757">
        <v>531805</v>
      </c>
      <c r="AY220" s="934">
        <f>AX220</f>
        <v>531805</v>
      </c>
      <c r="AZ220" s="934">
        <f t="shared" ref="AZ220:BC220" si="4">AY220</f>
        <v>531805</v>
      </c>
      <c r="BA220" s="934">
        <f t="shared" si="4"/>
        <v>531805</v>
      </c>
      <c r="BB220" s="934">
        <f t="shared" si="4"/>
        <v>531805</v>
      </c>
      <c r="BC220" s="934">
        <f t="shared" si="4"/>
        <v>531805</v>
      </c>
      <c r="BD220" s="755"/>
      <c r="BE220" s="755"/>
      <c r="BF220" s="755"/>
      <c r="BG220" s="755"/>
      <c r="BH220" s="755"/>
      <c r="BI220" s="755"/>
      <c r="BJ220" s="755"/>
      <c r="BK220" s="755"/>
      <c r="BL220" s="755"/>
      <c r="BM220" s="755"/>
      <c r="BN220" s="755"/>
      <c r="BO220" s="755"/>
      <c r="BP220" s="755"/>
      <c r="BQ220" s="755"/>
      <c r="BR220" s="755"/>
      <c r="BS220" s="755"/>
      <c r="BT220" s="756"/>
    </row>
    <row r="221" spans="2:72">
      <c r="B221" s="752"/>
      <c r="C221" s="752" t="s">
        <v>735</v>
      </c>
      <c r="D221" s="752" t="s">
        <v>120</v>
      </c>
      <c r="E221" s="752"/>
      <c r="F221" s="752"/>
      <c r="G221" s="752"/>
      <c r="H221" s="889">
        <v>2018</v>
      </c>
      <c r="I221" s="639" t="s">
        <v>574</v>
      </c>
      <c r="J221" s="639" t="s">
        <v>777</v>
      </c>
      <c r="K221" s="628"/>
      <c r="L221" s="754"/>
      <c r="M221" s="755"/>
      <c r="N221" s="755"/>
      <c r="O221" s="755"/>
      <c r="P221" s="755"/>
      <c r="Q221" s="755"/>
      <c r="R221" s="755"/>
      <c r="S221" s="755"/>
      <c r="T221" s="755"/>
      <c r="U221" s="755"/>
      <c r="V221" s="755"/>
      <c r="W221" s="755"/>
      <c r="X221" s="755"/>
      <c r="Y221" s="755"/>
      <c r="Z221" s="755"/>
      <c r="AA221" s="755"/>
      <c r="AB221" s="755"/>
      <c r="AC221" s="755"/>
      <c r="AD221" s="755"/>
      <c r="AE221" s="755"/>
      <c r="AF221" s="755"/>
      <c r="AG221" s="755"/>
      <c r="AH221" s="755"/>
      <c r="AI221" s="755"/>
      <c r="AJ221" s="755"/>
      <c r="AK221" s="755"/>
      <c r="AL221" s="755"/>
      <c r="AM221" s="755"/>
      <c r="AN221" s="755"/>
      <c r="AO221" s="756"/>
      <c r="AP221" s="50"/>
      <c r="AQ221" s="754"/>
      <c r="AR221" s="755"/>
      <c r="AS221" s="755"/>
      <c r="AT221" s="755"/>
      <c r="AU221" s="755"/>
      <c r="AV221" s="755"/>
      <c r="AW221" s="755"/>
      <c r="AX221" s="757">
        <v>22224</v>
      </c>
      <c r="AY221" s="934">
        <v>22003</v>
      </c>
      <c r="AZ221" s="934">
        <v>22003</v>
      </c>
      <c r="BA221" s="934">
        <v>22003</v>
      </c>
      <c r="BB221" s="934">
        <v>22003</v>
      </c>
      <c r="BC221" s="934">
        <v>22003</v>
      </c>
      <c r="BD221" s="755"/>
      <c r="BE221" s="755"/>
      <c r="BF221" s="755"/>
      <c r="BG221" s="755"/>
      <c r="BH221" s="755"/>
      <c r="BI221" s="755"/>
      <c r="BJ221" s="755"/>
      <c r="BK221" s="755"/>
      <c r="BL221" s="755"/>
      <c r="BM221" s="755"/>
      <c r="BN221" s="755"/>
      <c r="BO221" s="755"/>
      <c r="BP221" s="755"/>
      <c r="BQ221" s="755"/>
      <c r="BR221" s="755"/>
      <c r="BS221" s="755"/>
      <c r="BT221" s="756"/>
    </row>
    <row r="222" spans="2:72">
      <c r="B222" s="752"/>
      <c r="C222" s="752" t="s">
        <v>775</v>
      </c>
      <c r="D222" s="752" t="s">
        <v>776</v>
      </c>
      <c r="E222" s="752"/>
      <c r="F222" s="752"/>
      <c r="G222" s="752"/>
      <c r="H222" s="889">
        <v>2018</v>
      </c>
      <c r="I222" s="639" t="s">
        <v>574</v>
      </c>
      <c r="J222" s="639" t="s">
        <v>777</v>
      </c>
      <c r="K222" s="628"/>
      <c r="L222" s="754"/>
      <c r="M222" s="755"/>
      <c r="N222" s="755"/>
      <c r="O222" s="755"/>
      <c r="P222" s="755"/>
      <c r="Q222" s="755"/>
      <c r="R222" s="755"/>
      <c r="S222" s="755"/>
      <c r="T222" s="755"/>
      <c r="U222" s="755"/>
      <c r="V222" s="755"/>
      <c r="W222" s="755"/>
      <c r="X222" s="755"/>
      <c r="Y222" s="755"/>
      <c r="Z222" s="755"/>
      <c r="AA222" s="755"/>
      <c r="AB222" s="755"/>
      <c r="AC222" s="755"/>
      <c r="AD222" s="755"/>
      <c r="AE222" s="755"/>
      <c r="AF222" s="755"/>
      <c r="AG222" s="755"/>
      <c r="AH222" s="755"/>
      <c r="AI222" s="755"/>
      <c r="AJ222" s="755"/>
      <c r="AK222" s="755"/>
      <c r="AL222" s="755"/>
      <c r="AM222" s="755"/>
      <c r="AN222" s="755"/>
      <c r="AO222" s="756"/>
      <c r="AP222" s="50"/>
      <c r="AQ222" s="754"/>
      <c r="AR222" s="755"/>
      <c r="AS222" s="755"/>
      <c r="AT222" s="755"/>
      <c r="AU222" s="755"/>
      <c r="AV222" s="755"/>
      <c r="AW222" s="755"/>
      <c r="AX222" s="757">
        <v>282000</v>
      </c>
      <c r="AY222" s="934">
        <f>AX222</f>
        <v>282000</v>
      </c>
      <c r="AZ222" s="934">
        <f t="shared" ref="AZ222:BC222" si="5">AY222</f>
        <v>282000</v>
      </c>
      <c r="BA222" s="934">
        <f t="shared" si="5"/>
        <v>282000</v>
      </c>
      <c r="BB222" s="934">
        <f t="shared" si="5"/>
        <v>282000</v>
      </c>
      <c r="BC222" s="934">
        <f t="shared" si="5"/>
        <v>282000</v>
      </c>
      <c r="BD222" s="755"/>
      <c r="BE222" s="755"/>
      <c r="BF222" s="755"/>
      <c r="BG222" s="755"/>
      <c r="BH222" s="755"/>
      <c r="BI222" s="755"/>
      <c r="BJ222" s="755"/>
      <c r="BK222" s="755"/>
      <c r="BL222" s="755"/>
      <c r="BM222" s="755"/>
      <c r="BN222" s="755"/>
      <c r="BO222" s="755"/>
      <c r="BP222" s="755"/>
      <c r="BQ222" s="755"/>
      <c r="BR222" s="755"/>
      <c r="BS222" s="755"/>
      <c r="BT222" s="756"/>
    </row>
    <row r="223" spans="2:72">
      <c r="B223" s="686"/>
      <c r="C223" s="752" t="s">
        <v>735</v>
      </c>
      <c r="D223" s="752" t="s">
        <v>841</v>
      </c>
      <c r="E223" s="686"/>
      <c r="F223" s="686"/>
      <c r="G223" s="686"/>
      <c r="H223" s="890">
        <v>2017</v>
      </c>
      <c r="I223" s="639" t="s">
        <v>573</v>
      </c>
      <c r="J223" s="639" t="s">
        <v>578</v>
      </c>
      <c r="K223" s="628"/>
      <c r="L223" s="690"/>
      <c r="M223" s="691"/>
      <c r="N223" s="691"/>
      <c r="O223" s="691"/>
      <c r="P223" s="691"/>
      <c r="Q223" s="691"/>
      <c r="R223" s="691"/>
      <c r="S223" s="691"/>
      <c r="T223" s="691"/>
      <c r="U223" s="691"/>
      <c r="V223" s="691"/>
      <c r="W223" s="691"/>
      <c r="X223" s="691"/>
      <c r="Y223" s="691"/>
      <c r="Z223" s="691"/>
      <c r="AA223" s="691"/>
      <c r="AB223" s="691"/>
      <c r="AC223" s="691"/>
      <c r="AD223" s="691"/>
      <c r="AE223" s="691"/>
      <c r="AF223" s="691"/>
      <c r="AG223" s="691"/>
      <c r="AH223" s="691"/>
      <c r="AI223" s="691"/>
      <c r="AJ223" s="691"/>
      <c r="AK223" s="691"/>
      <c r="AL223" s="691"/>
      <c r="AM223" s="691"/>
      <c r="AN223" s="691"/>
      <c r="AO223" s="692"/>
      <c r="AP223" s="628"/>
      <c r="AQ223" s="690"/>
      <c r="AR223" s="691"/>
      <c r="AS223" s="691"/>
      <c r="AT223" s="691"/>
      <c r="AU223" s="691"/>
      <c r="AV223" s="691"/>
      <c r="AW223" s="691">
        <f>-'8. Streetlighting'!J23</f>
        <v>-2286980.2759515466</v>
      </c>
      <c r="AX223" s="691">
        <f>-'8. Streetlighting'!J24</f>
        <v>-7845232.4222105686</v>
      </c>
      <c r="AY223" s="934">
        <f>-'8. Streetlighting'!J25</f>
        <v>-7845232.4222105686</v>
      </c>
      <c r="AZ223" s="934">
        <f>-'8. Streetlighting'!J26</f>
        <v>-7845232.4222105686</v>
      </c>
      <c r="BA223" s="691"/>
      <c r="BB223" s="691"/>
      <c r="BC223" s="691"/>
      <c r="BD223" s="691"/>
      <c r="BE223" s="691"/>
      <c r="BF223" s="691"/>
      <c r="BG223" s="691"/>
      <c r="BH223" s="691"/>
      <c r="BI223" s="691"/>
      <c r="BJ223" s="691"/>
      <c r="BK223" s="691"/>
      <c r="BL223" s="691"/>
      <c r="BM223" s="691"/>
      <c r="BN223" s="691"/>
      <c r="BO223" s="691"/>
      <c r="BP223" s="691"/>
      <c r="BQ223" s="691"/>
      <c r="BR223" s="691"/>
      <c r="BS223" s="691"/>
      <c r="BT223" s="692"/>
    </row>
    <row r="224" spans="2:72">
      <c r="B224" s="686"/>
      <c r="C224" s="686"/>
      <c r="D224" s="686"/>
      <c r="E224" s="686"/>
      <c r="F224" s="686"/>
      <c r="G224" s="686"/>
      <c r="H224" s="890"/>
      <c r="I224" s="639"/>
      <c r="J224" s="639"/>
      <c r="K224" s="628"/>
      <c r="L224" s="690"/>
      <c r="M224" s="691"/>
      <c r="N224" s="691"/>
      <c r="O224" s="691"/>
      <c r="P224" s="691"/>
      <c r="Q224" s="691"/>
      <c r="R224" s="691"/>
      <c r="S224" s="691"/>
      <c r="T224" s="691"/>
      <c r="U224" s="691"/>
      <c r="V224" s="691"/>
      <c r="W224" s="691"/>
      <c r="X224" s="691"/>
      <c r="Y224" s="691"/>
      <c r="Z224" s="691"/>
      <c r="AA224" s="691"/>
      <c r="AB224" s="691"/>
      <c r="AC224" s="691"/>
      <c r="AD224" s="691"/>
      <c r="AE224" s="691"/>
      <c r="AF224" s="691"/>
      <c r="AG224" s="691"/>
      <c r="AH224" s="691"/>
      <c r="AI224" s="691"/>
      <c r="AJ224" s="691"/>
      <c r="AK224" s="691"/>
      <c r="AL224" s="691"/>
      <c r="AM224" s="691"/>
      <c r="AN224" s="691"/>
      <c r="AO224" s="692"/>
      <c r="AP224" s="628"/>
      <c r="AQ224" s="690"/>
      <c r="AR224" s="691"/>
      <c r="AS224" s="691"/>
      <c r="AT224" s="691"/>
      <c r="AU224" s="691"/>
      <c r="AV224" s="691"/>
      <c r="AW224" s="691"/>
      <c r="AX224" s="691"/>
      <c r="AY224" s="691"/>
      <c r="AZ224" s="691"/>
      <c r="BA224" s="691"/>
      <c r="BB224" s="691"/>
      <c r="BC224" s="691"/>
      <c r="BD224" s="691"/>
      <c r="BE224" s="691"/>
      <c r="BF224" s="691"/>
      <c r="BG224" s="691"/>
      <c r="BH224" s="691"/>
      <c r="BI224" s="691"/>
      <c r="BJ224" s="691"/>
      <c r="BK224" s="691"/>
      <c r="BL224" s="691"/>
      <c r="BM224" s="691"/>
      <c r="BN224" s="691"/>
      <c r="BO224" s="691"/>
      <c r="BP224" s="691"/>
      <c r="BQ224" s="691"/>
      <c r="BR224" s="691"/>
      <c r="BS224" s="691"/>
      <c r="BT224" s="692"/>
    </row>
    <row r="225" spans="2:72">
      <c r="B225" s="686"/>
      <c r="C225" s="686"/>
      <c r="D225" s="686"/>
      <c r="E225" s="686"/>
      <c r="F225" s="686"/>
      <c r="G225" s="686"/>
      <c r="H225" s="890"/>
      <c r="I225" s="639"/>
      <c r="J225" s="639"/>
      <c r="K225" s="628"/>
      <c r="L225" s="690"/>
      <c r="M225" s="691"/>
      <c r="N225" s="691"/>
      <c r="O225" s="691"/>
      <c r="P225" s="691"/>
      <c r="Q225" s="691"/>
      <c r="R225" s="691"/>
      <c r="S225" s="691"/>
      <c r="T225" s="691"/>
      <c r="U225" s="691"/>
      <c r="V225" s="691"/>
      <c r="W225" s="691"/>
      <c r="X225" s="691"/>
      <c r="Y225" s="691"/>
      <c r="Z225" s="691"/>
      <c r="AA225" s="691"/>
      <c r="AB225" s="691"/>
      <c r="AC225" s="691"/>
      <c r="AD225" s="691"/>
      <c r="AE225" s="691"/>
      <c r="AF225" s="691"/>
      <c r="AG225" s="691"/>
      <c r="AH225" s="691"/>
      <c r="AI225" s="691"/>
      <c r="AJ225" s="691"/>
      <c r="AK225" s="691"/>
      <c r="AL225" s="691"/>
      <c r="AM225" s="691"/>
      <c r="AN225" s="691"/>
      <c r="AO225" s="692"/>
      <c r="AP225" s="628"/>
      <c r="AQ225" s="690"/>
      <c r="AR225" s="691"/>
      <c r="AS225" s="691"/>
      <c r="AT225" s="691"/>
      <c r="AU225" s="691"/>
      <c r="AV225" s="691"/>
      <c r="AW225" s="691"/>
      <c r="AX225" s="691"/>
      <c r="AY225" s="691"/>
      <c r="AZ225" s="691"/>
      <c r="BA225" s="691"/>
      <c r="BB225" s="691"/>
      <c r="BC225" s="691"/>
      <c r="BD225" s="691"/>
      <c r="BE225" s="691"/>
      <c r="BF225" s="691"/>
      <c r="BG225" s="691"/>
      <c r="BH225" s="691"/>
      <c r="BI225" s="691"/>
      <c r="BJ225" s="691"/>
      <c r="BK225" s="691"/>
      <c r="BL225" s="691"/>
      <c r="BM225" s="691"/>
      <c r="BN225" s="691"/>
      <c r="BO225" s="691"/>
      <c r="BP225" s="691"/>
      <c r="BQ225" s="691"/>
      <c r="BR225" s="691"/>
      <c r="BS225" s="691"/>
      <c r="BT225" s="692"/>
    </row>
    <row r="226" spans="2:72">
      <c r="B226" s="686"/>
      <c r="C226" s="686"/>
      <c r="D226" s="686"/>
      <c r="E226" s="686"/>
      <c r="F226" s="686"/>
      <c r="G226" s="686"/>
      <c r="H226" s="890"/>
      <c r="I226" s="639"/>
      <c r="J226" s="639"/>
      <c r="K226" s="628"/>
      <c r="L226" s="690"/>
      <c r="M226" s="691"/>
      <c r="N226" s="691"/>
      <c r="O226" s="691"/>
      <c r="P226" s="691"/>
      <c r="Q226" s="691"/>
      <c r="R226" s="691"/>
      <c r="S226" s="691"/>
      <c r="T226" s="691"/>
      <c r="U226" s="691"/>
      <c r="V226" s="691"/>
      <c r="W226" s="691"/>
      <c r="X226" s="691"/>
      <c r="Y226" s="691"/>
      <c r="Z226" s="691"/>
      <c r="AA226" s="691"/>
      <c r="AB226" s="691"/>
      <c r="AC226" s="691"/>
      <c r="AD226" s="691"/>
      <c r="AE226" s="691"/>
      <c r="AF226" s="691"/>
      <c r="AG226" s="691"/>
      <c r="AH226" s="691"/>
      <c r="AI226" s="691"/>
      <c r="AJ226" s="691"/>
      <c r="AK226" s="691"/>
      <c r="AL226" s="691"/>
      <c r="AM226" s="691"/>
      <c r="AN226" s="691"/>
      <c r="AO226" s="692"/>
      <c r="AP226" s="628"/>
      <c r="AQ226" s="690"/>
      <c r="AR226" s="691"/>
      <c r="AS226" s="691"/>
      <c r="AT226" s="691"/>
      <c r="AU226" s="691"/>
      <c r="AV226" s="691"/>
      <c r="AW226" s="691"/>
      <c r="AX226" s="691"/>
      <c r="AY226" s="691"/>
      <c r="AZ226" s="691"/>
      <c r="BA226" s="691"/>
      <c r="BB226" s="691"/>
      <c r="BC226" s="691"/>
      <c r="BD226" s="691"/>
      <c r="BE226" s="691"/>
      <c r="BF226" s="691"/>
      <c r="BG226" s="691"/>
      <c r="BH226" s="691"/>
      <c r="BI226" s="691"/>
      <c r="BJ226" s="691"/>
      <c r="BK226" s="691"/>
      <c r="BL226" s="691"/>
      <c r="BM226" s="691"/>
      <c r="BN226" s="691"/>
      <c r="BO226" s="691"/>
      <c r="BP226" s="691"/>
      <c r="BQ226" s="691"/>
      <c r="BR226" s="691"/>
      <c r="BS226" s="691"/>
      <c r="BT226" s="692"/>
    </row>
    <row r="227" spans="2:72">
      <c r="B227" s="686"/>
      <c r="C227" s="686"/>
      <c r="D227" s="686"/>
      <c r="E227" s="686"/>
      <c r="F227" s="686"/>
      <c r="G227" s="686"/>
      <c r="H227" s="890"/>
      <c r="I227" s="639"/>
      <c r="J227" s="639"/>
      <c r="K227" s="628"/>
      <c r="L227" s="690"/>
      <c r="M227" s="691"/>
      <c r="N227" s="691"/>
      <c r="O227" s="691"/>
      <c r="P227" s="691"/>
      <c r="Q227" s="691"/>
      <c r="R227" s="691"/>
      <c r="S227" s="691"/>
      <c r="T227" s="691"/>
      <c r="U227" s="691"/>
      <c r="V227" s="691"/>
      <c r="W227" s="691"/>
      <c r="X227" s="691"/>
      <c r="Y227" s="691"/>
      <c r="Z227" s="691"/>
      <c r="AA227" s="691"/>
      <c r="AB227" s="691"/>
      <c r="AC227" s="691"/>
      <c r="AD227" s="691"/>
      <c r="AE227" s="691"/>
      <c r="AF227" s="691"/>
      <c r="AG227" s="691"/>
      <c r="AH227" s="691"/>
      <c r="AI227" s="691"/>
      <c r="AJ227" s="691"/>
      <c r="AK227" s="691"/>
      <c r="AL227" s="691"/>
      <c r="AM227" s="691"/>
      <c r="AN227" s="691"/>
      <c r="AO227" s="692"/>
      <c r="AP227" s="628"/>
      <c r="AQ227" s="690"/>
      <c r="AR227" s="691"/>
      <c r="AS227" s="691"/>
      <c r="AT227" s="691"/>
      <c r="AU227" s="691"/>
      <c r="AV227" s="691"/>
      <c r="AW227" s="691"/>
      <c r="AX227" s="691"/>
      <c r="AY227" s="691"/>
      <c r="AZ227" s="691"/>
      <c r="BA227" s="691"/>
      <c r="BB227" s="691"/>
      <c r="BC227" s="691"/>
      <c r="BD227" s="691"/>
      <c r="BE227" s="691"/>
      <c r="BF227" s="691"/>
      <c r="BG227" s="691"/>
      <c r="BH227" s="691"/>
      <c r="BI227" s="691"/>
      <c r="BJ227" s="691"/>
      <c r="BK227" s="691"/>
      <c r="BL227" s="691"/>
      <c r="BM227" s="691"/>
      <c r="BN227" s="691"/>
      <c r="BO227" s="691"/>
      <c r="BP227" s="691"/>
      <c r="BQ227" s="691"/>
      <c r="BR227" s="691"/>
      <c r="BS227" s="691"/>
      <c r="BT227" s="692"/>
    </row>
    <row r="228" spans="2:72">
      <c r="B228" s="686"/>
      <c r="C228" s="686"/>
      <c r="D228" s="686"/>
      <c r="E228" s="686"/>
      <c r="F228" s="686"/>
      <c r="G228" s="686"/>
      <c r="H228" s="890"/>
      <c r="I228" s="639"/>
      <c r="J228" s="639"/>
      <c r="K228" s="628"/>
      <c r="L228" s="690"/>
      <c r="M228" s="691"/>
      <c r="N228" s="691"/>
      <c r="O228" s="691"/>
      <c r="P228" s="691"/>
      <c r="Q228" s="691"/>
      <c r="R228" s="691"/>
      <c r="S228" s="691"/>
      <c r="T228" s="691"/>
      <c r="U228" s="691"/>
      <c r="V228" s="691"/>
      <c r="W228" s="691"/>
      <c r="X228" s="691"/>
      <c r="Y228" s="691"/>
      <c r="Z228" s="691"/>
      <c r="AA228" s="691"/>
      <c r="AB228" s="691"/>
      <c r="AC228" s="691"/>
      <c r="AD228" s="691"/>
      <c r="AE228" s="691"/>
      <c r="AF228" s="691"/>
      <c r="AG228" s="691"/>
      <c r="AH228" s="691"/>
      <c r="AI228" s="691"/>
      <c r="AJ228" s="691"/>
      <c r="AK228" s="691"/>
      <c r="AL228" s="691"/>
      <c r="AM228" s="691"/>
      <c r="AN228" s="691"/>
      <c r="AO228" s="692"/>
      <c r="AP228" s="628"/>
      <c r="AQ228" s="690"/>
      <c r="AR228" s="691"/>
      <c r="AS228" s="691"/>
      <c r="AT228" s="691"/>
      <c r="AU228" s="691"/>
      <c r="AV228" s="691"/>
      <c r="AW228" s="691"/>
      <c r="AX228" s="691"/>
      <c r="AY228" s="691"/>
      <c r="AZ228" s="691"/>
      <c r="BA228" s="691"/>
      <c r="BB228" s="691"/>
      <c r="BC228" s="691"/>
      <c r="BD228" s="691"/>
      <c r="BE228" s="691"/>
      <c r="BF228" s="691"/>
      <c r="BG228" s="691"/>
      <c r="BH228" s="691"/>
      <c r="BI228" s="691"/>
      <c r="BJ228" s="691"/>
      <c r="BK228" s="691"/>
      <c r="BL228" s="691"/>
      <c r="BM228" s="691"/>
      <c r="BN228" s="691"/>
      <c r="BO228" s="691"/>
      <c r="BP228" s="691"/>
      <c r="BQ228" s="691"/>
      <c r="BR228" s="691"/>
      <c r="BS228" s="691"/>
      <c r="BT228" s="692"/>
    </row>
    <row r="229" spans="2:72">
      <c r="B229" s="686"/>
      <c r="C229" s="686"/>
      <c r="D229" s="686"/>
      <c r="E229" s="686"/>
      <c r="F229" s="686"/>
      <c r="G229" s="686"/>
      <c r="H229" s="890"/>
      <c r="I229" s="639"/>
      <c r="J229" s="639"/>
      <c r="K229" s="628"/>
      <c r="L229" s="690"/>
      <c r="M229" s="691"/>
      <c r="N229" s="691"/>
      <c r="O229" s="691"/>
      <c r="P229" s="691"/>
      <c r="Q229" s="691"/>
      <c r="R229" s="691"/>
      <c r="S229" s="691"/>
      <c r="T229" s="691"/>
      <c r="U229" s="691"/>
      <c r="V229" s="691"/>
      <c r="W229" s="691"/>
      <c r="X229" s="691"/>
      <c r="Y229" s="691"/>
      <c r="Z229" s="691"/>
      <c r="AA229" s="691"/>
      <c r="AB229" s="691"/>
      <c r="AC229" s="691"/>
      <c r="AD229" s="691"/>
      <c r="AE229" s="691"/>
      <c r="AF229" s="691"/>
      <c r="AG229" s="691"/>
      <c r="AH229" s="691"/>
      <c r="AI229" s="691"/>
      <c r="AJ229" s="691"/>
      <c r="AK229" s="691"/>
      <c r="AL229" s="691"/>
      <c r="AM229" s="691"/>
      <c r="AN229" s="691"/>
      <c r="AO229" s="692"/>
      <c r="AP229" s="628"/>
      <c r="AQ229" s="690"/>
      <c r="AR229" s="691"/>
      <c r="AS229" s="691"/>
      <c r="AT229" s="691"/>
      <c r="AU229" s="691"/>
      <c r="AV229" s="691"/>
      <c r="AW229" s="691"/>
      <c r="AX229" s="691"/>
      <c r="AY229" s="691"/>
      <c r="AZ229" s="691"/>
      <c r="BA229" s="691"/>
      <c r="BB229" s="691"/>
      <c r="BC229" s="691"/>
      <c r="BD229" s="691"/>
      <c r="BE229" s="691"/>
      <c r="BF229" s="691"/>
      <c r="BG229" s="691"/>
      <c r="BH229" s="691"/>
      <c r="BI229" s="691"/>
      <c r="BJ229" s="691"/>
      <c r="BK229" s="691"/>
      <c r="BL229" s="691"/>
      <c r="BM229" s="691"/>
      <c r="BN229" s="691"/>
      <c r="BO229" s="691"/>
      <c r="BP229" s="691"/>
      <c r="BQ229" s="691"/>
      <c r="BR229" s="691"/>
      <c r="BS229" s="691"/>
      <c r="BT229" s="692"/>
    </row>
    <row r="230" spans="2:72">
      <c r="B230" s="686"/>
      <c r="C230" s="686"/>
      <c r="D230" s="686"/>
      <c r="E230" s="686"/>
      <c r="F230" s="686"/>
      <c r="G230" s="686"/>
      <c r="H230" s="890"/>
      <c r="I230" s="639"/>
      <c r="J230" s="639"/>
      <c r="K230" s="628"/>
      <c r="L230" s="690"/>
      <c r="M230" s="691"/>
      <c r="N230" s="691"/>
      <c r="O230" s="691"/>
      <c r="P230" s="691"/>
      <c r="Q230" s="691"/>
      <c r="R230" s="691"/>
      <c r="S230" s="691"/>
      <c r="T230" s="691"/>
      <c r="U230" s="691"/>
      <c r="V230" s="691"/>
      <c r="W230" s="691"/>
      <c r="X230" s="691"/>
      <c r="Y230" s="691"/>
      <c r="Z230" s="691"/>
      <c r="AA230" s="691"/>
      <c r="AB230" s="691"/>
      <c r="AC230" s="691"/>
      <c r="AD230" s="691"/>
      <c r="AE230" s="691"/>
      <c r="AF230" s="691"/>
      <c r="AG230" s="691"/>
      <c r="AH230" s="691"/>
      <c r="AI230" s="691"/>
      <c r="AJ230" s="691"/>
      <c r="AK230" s="691"/>
      <c r="AL230" s="691"/>
      <c r="AM230" s="691"/>
      <c r="AN230" s="691"/>
      <c r="AO230" s="692"/>
      <c r="AP230" s="628"/>
      <c r="AQ230" s="690"/>
      <c r="AR230" s="691"/>
      <c r="AS230" s="691"/>
      <c r="AT230" s="691"/>
      <c r="AU230" s="691"/>
      <c r="AV230" s="691"/>
      <c r="AW230" s="691"/>
      <c r="AX230" s="691"/>
      <c r="AY230" s="691"/>
      <c r="AZ230" s="691"/>
      <c r="BA230" s="691"/>
      <c r="BB230" s="691"/>
      <c r="BC230" s="691"/>
      <c r="BD230" s="691"/>
      <c r="BE230" s="691"/>
      <c r="BF230" s="691"/>
      <c r="BG230" s="691"/>
      <c r="BH230" s="691"/>
      <c r="BI230" s="691"/>
      <c r="BJ230" s="691"/>
      <c r="BK230" s="691"/>
      <c r="BL230" s="691"/>
      <c r="BM230" s="691"/>
      <c r="BN230" s="691"/>
      <c r="BO230" s="691"/>
      <c r="BP230" s="691"/>
      <c r="BQ230" s="691"/>
      <c r="BR230" s="691"/>
      <c r="BS230" s="691"/>
      <c r="BT230" s="692"/>
    </row>
    <row r="231" spans="2:72">
      <c r="B231" s="686"/>
      <c r="C231" s="686"/>
      <c r="D231" s="686"/>
      <c r="E231" s="686"/>
      <c r="F231" s="686"/>
      <c r="G231" s="686"/>
      <c r="H231" s="890"/>
      <c r="I231" s="639"/>
      <c r="J231" s="639"/>
      <c r="K231" s="628"/>
      <c r="L231" s="690"/>
      <c r="M231" s="691"/>
      <c r="N231" s="691"/>
      <c r="O231" s="691"/>
      <c r="P231" s="691"/>
      <c r="Q231" s="691"/>
      <c r="R231" s="691"/>
      <c r="S231" s="691"/>
      <c r="T231" s="691"/>
      <c r="U231" s="691"/>
      <c r="V231" s="691"/>
      <c r="W231" s="691"/>
      <c r="X231" s="691"/>
      <c r="Y231" s="691"/>
      <c r="Z231" s="691"/>
      <c r="AA231" s="691"/>
      <c r="AB231" s="691"/>
      <c r="AC231" s="691"/>
      <c r="AD231" s="691"/>
      <c r="AE231" s="691"/>
      <c r="AF231" s="691"/>
      <c r="AG231" s="691"/>
      <c r="AH231" s="691"/>
      <c r="AI231" s="691"/>
      <c r="AJ231" s="691"/>
      <c r="AK231" s="691"/>
      <c r="AL231" s="691"/>
      <c r="AM231" s="691"/>
      <c r="AN231" s="691"/>
      <c r="AO231" s="692"/>
      <c r="AP231" s="628"/>
      <c r="AQ231" s="690"/>
      <c r="AR231" s="691"/>
      <c r="AS231" s="691"/>
      <c r="AT231" s="691"/>
      <c r="AU231" s="691"/>
      <c r="AV231" s="691"/>
      <c r="AW231" s="691"/>
      <c r="AX231" s="691"/>
      <c r="AY231" s="691"/>
      <c r="AZ231" s="691"/>
      <c r="BA231" s="691"/>
      <c r="BB231" s="691"/>
      <c r="BC231" s="691"/>
      <c r="BD231" s="691"/>
      <c r="BE231" s="691"/>
      <c r="BF231" s="691"/>
      <c r="BG231" s="691"/>
      <c r="BH231" s="691"/>
      <c r="BI231" s="691"/>
      <c r="BJ231" s="691"/>
      <c r="BK231" s="691"/>
      <c r="BL231" s="691"/>
      <c r="BM231" s="691"/>
      <c r="BN231" s="691"/>
      <c r="BO231" s="691"/>
      <c r="BP231" s="691"/>
      <c r="BQ231" s="691"/>
      <c r="BR231" s="691"/>
      <c r="BS231" s="691"/>
      <c r="BT231" s="692"/>
    </row>
    <row r="232" spans="2:72">
      <c r="B232" s="686"/>
      <c r="C232" s="686"/>
      <c r="D232" s="686"/>
      <c r="E232" s="686"/>
      <c r="F232" s="686"/>
      <c r="G232" s="686"/>
      <c r="H232" s="890"/>
      <c r="I232" s="639"/>
      <c r="J232" s="639"/>
      <c r="K232" s="628"/>
      <c r="L232" s="690"/>
      <c r="M232" s="691"/>
      <c r="N232" s="691"/>
      <c r="O232" s="691"/>
      <c r="P232" s="691"/>
      <c r="Q232" s="691"/>
      <c r="R232" s="691"/>
      <c r="S232" s="691"/>
      <c r="T232" s="691"/>
      <c r="U232" s="691"/>
      <c r="V232" s="691"/>
      <c r="W232" s="691"/>
      <c r="X232" s="691"/>
      <c r="Y232" s="691"/>
      <c r="Z232" s="691"/>
      <c r="AA232" s="691"/>
      <c r="AB232" s="691"/>
      <c r="AC232" s="691"/>
      <c r="AD232" s="691"/>
      <c r="AE232" s="691"/>
      <c r="AF232" s="691"/>
      <c r="AG232" s="691"/>
      <c r="AH232" s="691"/>
      <c r="AI232" s="691"/>
      <c r="AJ232" s="691"/>
      <c r="AK232" s="691"/>
      <c r="AL232" s="691"/>
      <c r="AM232" s="691"/>
      <c r="AN232" s="691"/>
      <c r="AO232" s="692"/>
      <c r="AP232" s="628"/>
      <c r="AQ232" s="690"/>
      <c r="AR232" s="691"/>
      <c r="AS232" s="691"/>
      <c r="AT232" s="691"/>
      <c r="AU232" s="691"/>
      <c r="AV232" s="691"/>
      <c r="AW232" s="691"/>
      <c r="AX232" s="691"/>
      <c r="AY232" s="691"/>
      <c r="AZ232" s="691"/>
      <c r="BA232" s="691"/>
      <c r="BB232" s="691"/>
      <c r="BC232" s="691"/>
      <c r="BD232" s="691"/>
      <c r="BE232" s="691"/>
      <c r="BF232" s="691"/>
      <c r="BG232" s="691"/>
      <c r="BH232" s="691"/>
      <c r="BI232" s="691"/>
      <c r="BJ232" s="691"/>
      <c r="BK232" s="691"/>
      <c r="BL232" s="691"/>
      <c r="BM232" s="691"/>
      <c r="BN232" s="691"/>
      <c r="BO232" s="691"/>
      <c r="BP232" s="691"/>
      <c r="BQ232" s="691"/>
      <c r="BR232" s="691"/>
      <c r="BS232" s="691"/>
      <c r="BT232" s="692"/>
    </row>
    <row r="233" spans="2:72">
      <c r="B233" s="686"/>
      <c r="C233" s="686"/>
      <c r="D233" s="686"/>
      <c r="E233" s="686"/>
      <c r="F233" s="686"/>
      <c r="G233" s="686"/>
      <c r="H233" s="890"/>
      <c r="I233" s="639"/>
      <c r="J233" s="639"/>
      <c r="K233" s="628"/>
      <c r="L233" s="690"/>
      <c r="M233" s="691"/>
      <c r="N233" s="691"/>
      <c r="O233" s="691"/>
      <c r="P233" s="691"/>
      <c r="Q233" s="691"/>
      <c r="R233" s="691"/>
      <c r="S233" s="691"/>
      <c r="T233" s="691"/>
      <c r="U233" s="691"/>
      <c r="V233" s="691"/>
      <c r="W233" s="691"/>
      <c r="X233" s="691"/>
      <c r="Y233" s="691"/>
      <c r="Z233" s="691"/>
      <c r="AA233" s="691"/>
      <c r="AB233" s="691"/>
      <c r="AC233" s="691"/>
      <c r="AD233" s="691"/>
      <c r="AE233" s="691"/>
      <c r="AF233" s="691"/>
      <c r="AG233" s="691"/>
      <c r="AH233" s="691"/>
      <c r="AI233" s="691"/>
      <c r="AJ233" s="691"/>
      <c r="AK233" s="691"/>
      <c r="AL233" s="691"/>
      <c r="AM233" s="691"/>
      <c r="AN233" s="691"/>
      <c r="AO233" s="692"/>
      <c r="AP233" s="628"/>
      <c r="AQ233" s="690"/>
      <c r="AR233" s="691"/>
      <c r="AS233" s="691"/>
      <c r="AT233" s="691"/>
      <c r="AU233" s="691"/>
      <c r="AV233" s="691"/>
      <c r="AW233" s="691"/>
      <c r="AX233" s="691"/>
      <c r="AY233" s="691"/>
      <c r="AZ233" s="691"/>
      <c r="BA233" s="691"/>
      <c r="BB233" s="691"/>
      <c r="BC233" s="691"/>
      <c r="BD233" s="691"/>
      <c r="BE233" s="691"/>
      <c r="BF233" s="691"/>
      <c r="BG233" s="691"/>
      <c r="BH233" s="691"/>
      <c r="BI233" s="691"/>
      <c r="BJ233" s="691"/>
      <c r="BK233" s="691"/>
      <c r="BL233" s="691"/>
      <c r="BM233" s="691"/>
      <c r="BN233" s="691"/>
      <c r="BO233" s="691"/>
      <c r="BP233" s="691"/>
      <c r="BQ233" s="691"/>
      <c r="BR233" s="691"/>
      <c r="BS233" s="691"/>
      <c r="BT233" s="692"/>
    </row>
    <row r="234" spans="2:72">
      <c r="B234" s="686"/>
      <c r="C234" s="686"/>
      <c r="D234" s="686"/>
      <c r="E234" s="686"/>
      <c r="F234" s="686"/>
      <c r="G234" s="686"/>
      <c r="H234" s="890"/>
      <c r="I234" s="639"/>
      <c r="J234" s="639"/>
      <c r="K234" s="628"/>
      <c r="L234" s="690"/>
      <c r="M234" s="691"/>
      <c r="N234" s="691"/>
      <c r="O234" s="691"/>
      <c r="P234" s="691"/>
      <c r="Q234" s="691"/>
      <c r="R234" s="691"/>
      <c r="S234" s="691"/>
      <c r="T234" s="691"/>
      <c r="U234" s="691"/>
      <c r="V234" s="691"/>
      <c r="W234" s="691"/>
      <c r="X234" s="691"/>
      <c r="Y234" s="691"/>
      <c r="Z234" s="691"/>
      <c r="AA234" s="691"/>
      <c r="AB234" s="691"/>
      <c r="AC234" s="691"/>
      <c r="AD234" s="691"/>
      <c r="AE234" s="691"/>
      <c r="AF234" s="691"/>
      <c r="AG234" s="691"/>
      <c r="AH234" s="691"/>
      <c r="AI234" s="691"/>
      <c r="AJ234" s="691"/>
      <c r="AK234" s="691"/>
      <c r="AL234" s="691"/>
      <c r="AM234" s="691"/>
      <c r="AN234" s="691"/>
      <c r="AO234" s="692"/>
      <c r="AP234" s="628"/>
      <c r="AQ234" s="690"/>
      <c r="AR234" s="691"/>
      <c r="AS234" s="691"/>
      <c r="AT234" s="691"/>
      <c r="AU234" s="691"/>
      <c r="AV234" s="691"/>
      <c r="AW234" s="691"/>
      <c r="AX234" s="691"/>
      <c r="AY234" s="691"/>
      <c r="AZ234" s="691"/>
      <c r="BA234" s="691"/>
      <c r="BB234" s="691"/>
      <c r="BC234" s="691"/>
      <c r="BD234" s="691"/>
      <c r="BE234" s="691"/>
      <c r="BF234" s="691"/>
      <c r="BG234" s="691"/>
      <c r="BH234" s="691"/>
      <c r="BI234" s="691"/>
      <c r="BJ234" s="691"/>
      <c r="BK234" s="691"/>
      <c r="BL234" s="691"/>
      <c r="BM234" s="691"/>
      <c r="BN234" s="691"/>
      <c r="BO234" s="691"/>
      <c r="BP234" s="691"/>
      <c r="BQ234" s="691"/>
      <c r="BR234" s="691"/>
      <c r="BS234" s="691"/>
      <c r="BT234" s="692"/>
    </row>
    <row r="235" spans="2:72">
      <c r="B235" s="686"/>
      <c r="C235" s="686"/>
      <c r="D235" s="686"/>
      <c r="E235" s="686"/>
      <c r="F235" s="686"/>
      <c r="G235" s="686"/>
      <c r="H235" s="890"/>
      <c r="I235" s="639"/>
      <c r="J235" s="639"/>
      <c r="K235" s="628"/>
      <c r="L235" s="690"/>
      <c r="M235" s="691"/>
      <c r="N235" s="691"/>
      <c r="O235" s="691"/>
      <c r="P235" s="691"/>
      <c r="Q235" s="691"/>
      <c r="R235" s="691"/>
      <c r="S235" s="691"/>
      <c r="T235" s="691"/>
      <c r="U235" s="691"/>
      <c r="V235" s="691"/>
      <c r="W235" s="691"/>
      <c r="X235" s="691"/>
      <c r="Y235" s="691"/>
      <c r="Z235" s="691"/>
      <c r="AA235" s="691"/>
      <c r="AB235" s="691"/>
      <c r="AC235" s="691"/>
      <c r="AD235" s="691"/>
      <c r="AE235" s="691"/>
      <c r="AF235" s="691"/>
      <c r="AG235" s="691"/>
      <c r="AH235" s="691"/>
      <c r="AI235" s="691"/>
      <c r="AJ235" s="691"/>
      <c r="AK235" s="691"/>
      <c r="AL235" s="691"/>
      <c r="AM235" s="691"/>
      <c r="AN235" s="691"/>
      <c r="AO235" s="692"/>
      <c r="AP235" s="628"/>
      <c r="AQ235" s="690"/>
      <c r="AR235" s="691"/>
      <c r="AS235" s="691"/>
      <c r="AT235" s="691"/>
      <c r="AU235" s="691"/>
      <c r="AV235" s="691"/>
      <c r="AW235" s="691"/>
      <c r="AX235" s="691"/>
      <c r="AY235" s="691"/>
      <c r="AZ235" s="691"/>
      <c r="BA235" s="691"/>
      <c r="BB235" s="691"/>
      <c r="BC235" s="691"/>
      <c r="BD235" s="691"/>
      <c r="BE235" s="691"/>
      <c r="BF235" s="691"/>
      <c r="BG235" s="691"/>
      <c r="BH235" s="691"/>
      <c r="BI235" s="691"/>
      <c r="BJ235" s="691"/>
      <c r="BK235" s="691"/>
      <c r="BL235" s="691"/>
      <c r="BM235" s="691"/>
      <c r="BN235" s="691"/>
      <c r="BO235" s="691"/>
      <c r="BP235" s="691"/>
      <c r="BQ235" s="691"/>
      <c r="BR235" s="691"/>
      <c r="BS235" s="691"/>
      <c r="BT235" s="692"/>
    </row>
    <row r="236" spans="2:72">
      <c r="B236" s="686"/>
      <c r="C236" s="686"/>
      <c r="D236" s="686"/>
      <c r="E236" s="686"/>
      <c r="F236" s="686"/>
      <c r="G236" s="686"/>
      <c r="H236" s="890"/>
      <c r="I236" s="639"/>
      <c r="J236" s="639"/>
      <c r="K236" s="628"/>
      <c r="L236" s="690"/>
      <c r="M236" s="691"/>
      <c r="N236" s="691"/>
      <c r="O236" s="691"/>
      <c r="P236" s="691"/>
      <c r="Q236" s="691"/>
      <c r="R236" s="691"/>
      <c r="S236" s="691"/>
      <c r="T236" s="691"/>
      <c r="U236" s="691"/>
      <c r="V236" s="691"/>
      <c r="W236" s="691"/>
      <c r="X236" s="691"/>
      <c r="Y236" s="691"/>
      <c r="Z236" s="691"/>
      <c r="AA236" s="691"/>
      <c r="AB236" s="691"/>
      <c r="AC236" s="691"/>
      <c r="AD236" s="691"/>
      <c r="AE236" s="691"/>
      <c r="AF236" s="691"/>
      <c r="AG236" s="691"/>
      <c r="AH236" s="691"/>
      <c r="AI236" s="691"/>
      <c r="AJ236" s="691"/>
      <c r="AK236" s="691"/>
      <c r="AL236" s="691"/>
      <c r="AM236" s="691"/>
      <c r="AN236" s="691"/>
      <c r="AO236" s="692"/>
      <c r="AP236" s="628"/>
      <c r="AQ236" s="690"/>
      <c r="AR236" s="691"/>
      <c r="AS236" s="691"/>
      <c r="AT236" s="691"/>
      <c r="AU236" s="691"/>
      <c r="AV236" s="691"/>
      <c r="AW236" s="691"/>
      <c r="AX236" s="691"/>
      <c r="AY236" s="691"/>
      <c r="AZ236" s="691"/>
      <c r="BA236" s="691"/>
      <c r="BB236" s="691"/>
      <c r="BC236" s="691"/>
      <c r="BD236" s="691"/>
      <c r="BE236" s="691"/>
      <c r="BF236" s="691"/>
      <c r="BG236" s="691"/>
      <c r="BH236" s="691"/>
      <c r="BI236" s="691"/>
      <c r="BJ236" s="691"/>
      <c r="BK236" s="691"/>
      <c r="BL236" s="691"/>
      <c r="BM236" s="691"/>
      <c r="BN236" s="691"/>
      <c r="BO236" s="691"/>
      <c r="BP236" s="691"/>
      <c r="BQ236" s="691"/>
      <c r="BR236" s="691"/>
      <c r="BS236" s="691"/>
      <c r="BT236" s="692"/>
    </row>
    <row r="237" spans="2:72">
      <c r="B237" s="686"/>
      <c r="C237" s="686"/>
      <c r="D237" s="686"/>
      <c r="E237" s="686"/>
      <c r="F237" s="686"/>
      <c r="G237" s="686"/>
      <c r="H237" s="890"/>
      <c r="I237" s="639"/>
      <c r="J237" s="639"/>
      <c r="K237" s="628"/>
      <c r="L237" s="690"/>
      <c r="M237" s="691"/>
      <c r="N237" s="691"/>
      <c r="O237" s="691"/>
      <c r="P237" s="691"/>
      <c r="Q237" s="691"/>
      <c r="R237" s="691"/>
      <c r="S237" s="691"/>
      <c r="T237" s="691"/>
      <c r="U237" s="691"/>
      <c r="V237" s="691"/>
      <c r="W237" s="691"/>
      <c r="X237" s="691"/>
      <c r="Y237" s="691"/>
      <c r="Z237" s="691"/>
      <c r="AA237" s="691"/>
      <c r="AB237" s="691"/>
      <c r="AC237" s="691"/>
      <c r="AD237" s="691"/>
      <c r="AE237" s="691"/>
      <c r="AF237" s="691"/>
      <c r="AG237" s="691"/>
      <c r="AH237" s="691"/>
      <c r="AI237" s="691"/>
      <c r="AJ237" s="691"/>
      <c r="AK237" s="691"/>
      <c r="AL237" s="691"/>
      <c r="AM237" s="691"/>
      <c r="AN237" s="691"/>
      <c r="AO237" s="692"/>
      <c r="AP237" s="628"/>
      <c r="AQ237" s="690"/>
      <c r="AR237" s="691"/>
      <c r="AS237" s="691"/>
      <c r="AT237" s="691"/>
      <c r="AU237" s="691"/>
      <c r="AV237" s="691"/>
      <c r="AW237" s="691"/>
      <c r="AX237" s="691"/>
      <c r="AY237" s="691"/>
      <c r="AZ237" s="691"/>
      <c r="BA237" s="691"/>
      <c r="BB237" s="691"/>
      <c r="BC237" s="691"/>
      <c r="BD237" s="691"/>
      <c r="BE237" s="691"/>
      <c r="BF237" s="691"/>
      <c r="BG237" s="691"/>
      <c r="BH237" s="691"/>
      <c r="BI237" s="691"/>
      <c r="BJ237" s="691"/>
      <c r="BK237" s="691"/>
      <c r="BL237" s="691"/>
      <c r="BM237" s="691"/>
      <c r="BN237" s="691"/>
      <c r="BO237" s="691"/>
      <c r="BP237" s="691"/>
      <c r="BQ237" s="691"/>
      <c r="BR237" s="691"/>
      <c r="BS237" s="691"/>
      <c r="BT237" s="692"/>
    </row>
    <row r="238" spans="2:72">
      <c r="B238" s="686"/>
      <c r="C238" s="686"/>
      <c r="D238" s="686"/>
      <c r="E238" s="686"/>
      <c r="F238" s="686"/>
      <c r="G238" s="686"/>
      <c r="H238" s="890"/>
      <c r="I238" s="639"/>
      <c r="J238" s="639"/>
      <c r="K238" s="628"/>
      <c r="L238" s="690"/>
      <c r="M238" s="691"/>
      <c r="N238" s="691"/>
      <c r="O238" s="691"/>
      <c r="P238" s="691"/>
      <c r="Q238" s="691"/>
      <c r="R238" s="691"/>
      <c r="S238" s="691"/>
      <c r="T238" s="691"/>
      <c r="U238" s="691"/>
      <c r="V238" s="691"/>
      <c r="W238" s="691"/>
      <c r="X238" s="691"/>
      <c r="Y238" s="691"/>
      <c r="Z238" s="691"/>
      <c r="AA238" s="691"/>
      <c r="AB238" s="691"/>
      <c r="AC238" s="691"/>
      <c r="AD238" s="691"/>
      <c r="AE238" s="691"/>
      <c r="AF238" s="691"/>
      <c r="AG238" s="691"/>
      <c r="AH238" s="691"/>
      <c r="AI238" s="691"/>
      <c r="AJ238" s="691"/>
      <c r="AK238" s="691"/>
      <c r="AL238" s="691"/>
      <c r="AM238" s="691"/>
      <c r="AN238" s="691"/>
      <c r="AO238" s="692"/>
      <c r="AP238" s="628"/>
      <c r="AQ238" s="690"/>
      <c r="AR238" s="691"/>
      <c r="AS238" s="691"/>
      <c r="AT238" s="691"/>
      <c r="AU238" s="691"/>
      <c r="AV238" s="691"/>
      <c r="AW238" s="691"/>
      <c r="AX238" s="691"/>
      <c r="AY238" s="691"/>
      <c r="AZ238" s="691"/>
      <c r="BA238" s="691"/>
      <c r="BB238" s="691"/>
      <c r="BC238" s="691"/>
      <c r="BD238" s="691"/>
      <c r="BE238" s="691"/>
      <c r="BF238" s="691"/>
      <c r="BG238" s="691"/>
      <c r="BH238" s="691"/>
      <c r="BI238" s="691"/>
      <c r="BJ238" s="691"/>
      <c r="BK238" s="691"/>
      <c r="BL238" s="691"/>
      <c r="BM238" s="691"/>
      <c r="BN238" s="691"/>
      <c r="BO238" s="691"/>
      <c r="BP238" s="691"/>
      <c r="BQ238" s="691"/>
      <c r="BR238" s="691"/>
      <c r="BS238" s="691"/>
      <c r="BT238" s="692"/>
    </row>
    <row r="239" spans="2:72">
      <c r="B239" s="686"/>
      <c r="C239" s="686"/>
      <c r="D239" s="686"/>
      <c r="E239" s="686"/>
      <c r="F239" s="686"/>
      <c r="G239" s="686"/>
      <c r="H239" s="890"/>
      <c r="I239" s="639"/>
      <c r="J239" s="639"/>
      <c r="K239" s="628"/>
      <c r="L239" s="690"/>
      <c r="M239" s="691"/>
      <c r="N239" s="691"/>
      <c r="O239" s="691"/>
      <c r="P239" s="691"/>
      <c r="Q239" s="691"/>
      <c r="R239" s="691"/>
      <c r="S239" s="691"/>
      <c r="T239" s="691"/>
      <c r="U239" s="691"/>
      <c r="V239" s="691"/>
      <c r="W239" s="691"/>
      <c r="X239" s="691"/>
      <c r="Y239" s="691"/>
      <c r="Z239" s="691"/>
      <c r="AA239" s="691"/>
      <c r="AB239" s="691"/>
      <c r="AC239" s="691"/>
      <c r="AD239" s="691"/>
      <c r="AE239" s="691"/>
      <c r="AF239" s="691"/>
      <c r="AG239" s="691"/>
      <c r="AH239" s="691"/>
      <c r="AI239" s="691"/>
      <c r="AJ239" s="691"/>
      <c r="AK239" s="691"/>
      <c r="AL239" s="691"/>
      <c r="AM239" s="691"/>
      <c r="AN239" s="691"/>
      <c r="AO239" s="692"/>
      <c r="AP239" s="628"/>
      <c r="AQ239" s="690"/>
      <c r="AR239" s="691"/>
      <c r="AS239" s="691"/>
      <c r="AT239" s="691"/>
      <c r="AU239" s="691"/>
      <c r="AV239" s="691"/>
      <c r="AW239" s="691"/>
      <c r="AX239" s="691"/>
      <c r="AY239" s="691"/>
      <c r="AZ239" s="691"/>
      <c r="BA239" s="691"/>
      <c r="BB239" s="691"/>
      <c r="BC239" s="691"/>
      <c r="BD239" s="691"/>
      <c r="BE239" s="691"/>
      <c r="BF239" s="691"/>
      <c r="BG239" s="691"/>
      <c r="BH239" s="691"/>
      <c r="BI239" s="691"/>
      <c r="BJ239" s="691"/>
      <c r="BK239" s="691"/>
      <c r="BL239" s="691"/>
      <c r="BM239" s="691"/>
      <c r="BN239" s="691"/>
      <c r="BO239" s="691"/>
      <c r="BP239" s="691"/>
      <c r="BQ239" s="691"/>
      <c r="BR239" s="691"/>
      <c r="BS239" s="691"/>
      <c r="BT239" s="692"/>
    </row>
    <row r="240" spans="2:72">
      <c r="B240" s="686"/>
      <c r="C240" s="686"/>
      <c r="D240" s="686"/>
      <c r="E240" s="686"/>
      <c r="F240" s="686"/>
      <c r="G240" s="686"/>
      <c r="H240" s="890"/>
      <c r="I240" s="639"/>
      <c r="J240" s="639"/>
      <c r="K240" s="628"/>
      <c r="L240" s="690"/>
      <c r="M240" s="691"/>
      <c r="N240" s="691"/>
      <c r="O240" s="691"/>
      <c r="P240" s="691"/>
      <c r="Q240" s="691"/>
      <c r="R240" s="691"/>
      <c r="S240" s="691"/>
      <c r="T240" s="691"/>
      <c r="U240" s="691"/>
      <c r="V240" s="691"/>
      <c r="W240" s="691"/>
      <c r="X240" s="691"/>
      <c r="Y240" s="691"/>
      <c r="Z240" s="691"/>
      <c r="AA240" s="691"/>
      <c r="AB240" s="691"/>
      <c r="AC240" s="691"/>
      <c r="AD240" s="691"/>
      <c r="AE240" s="691"/>
      <c r="AF240" s="691"/>
      <c r="AG240" s="691"/>
      <c r="AH240" s="691"/>
      <c r="AI240" s="691"/>
      <c r="AJ240" s="691"/>
      <c r="AK240" s="691"/>
      <c r="AL240" s="691"/>
      <c r="AM240" s="691"/>
      <c r="AN240" s="691"/>
      <c r="AO240" s="692"/>
      <c r="AP240" s="628"/>
      <c r="AQ240" s="690"/>
      <c r="AR240" s="691"/>
      <c r="AS240" s="691"/>
      <c r="AT240" s="691"/>
      <c r="AU240" s="691"/>
      <c r="AV240" s="691"/>
      <c r="AW240" s="691"/>
      <c r="AX240" s="691"/>
      <c r="AY240" s="691"/>
      <c r="AZ240" s="691"/>
      <c r="BA240" s="691"/>
      <c r="BB240" s="691"/>
      <c r="BC240" s="691"/>
      <c r="BD240" s="691"/>
      <c r="BE240" s="691"/>
      <c r="BF240" s="691"/>
      <c r="BG240" s="691"/>
      <c r="BH240" s="691"/>
      <c r="BI240" s="691"/>
      <c r="BJ240" s="691"/>
      <c r="BK240" s="691"/>
      <c r="BL240" s="691"/>
      <c r="BM240" s="691"/>
      <c r="BN240" s="691"/>
      <c r="BO240" s="691"/>
      <c r="BP240" s="691"/>
      <c r="BQ240" s="691"/>
      <c r="BR240" s="691"/>
      <c r="BS240" s="691"/>
      <c r="BT240" s="692"/>
    </row>
    <row r="241" spans="2:73">
      <c r="B241" s="686"/>
      <c r="C241" s="686"/>
      <c r="D241" s="686"/>
      <c r="E241" s="686"/>
      <c r="F241" s="686"/>
      <c r="G241" s="686"/>
      <c r="H241" s="890"/>
      <c r="I241" s="639"/>
      <c r="J241" s="639"/>
      <c r="K241" s="628"/>
      <c r="L241" s="690"/>
      <c r="M241" s="691"/>
      <c r="N241" s="691"/>
      <c r="O241" s="691"/>
      <c r="P241" s="691"/>
      <c r="Q241" s="691"/>
      <c r="R241" s="691"/>
      <c r="S241" s="691"/>
      <c r="T241" s="691"/>
      <c r="U241" s="691"/>
      <c r="V241" s="691"/>
      <c r="W241" s="691"/>
      <c r="X241" s="691"/>
      <c r="Y241" s="691"/>
      <c r="Z241" s="691"/>
      <c r="AA241" s="691"/>
      <c r="AB241" s="691"/>
      <c r="AC241" s="691"/>
      <c r="AD241" s="691"/>
      <c r="AE241" s="691"/>
      <c r="AF241" s="691"/>
      <c r="AG241" s="691"/>
      <c r="AH241" s="691"/>
      <c r="AI241" s="691"/>
      <c r="AJ241" s="691"/>
      <c r="AK241" s="691"/>
      <c r="AL241" s="691"/>
      <c r="AM241" s="691"/>
      <c r="AN241" s="691"/>
      <c r="AO241" s="692"/>
      <c r="AP241" s="628"/>
      <c r="AQ241" s="690"/>
      <c r="AR241" s="691"/>
      <c r="AS241" s="691"/>
      <c r="AT241" s="691"/>
      <c r="AU241" s="691"/>
      <c r="AV241" s="691"/>
      <c r="AW241" s="691"/>
      <c r="AX241" s="691"/>
      <c r="AY241" s="691"/>
      <c r="AZ241" s="691"/>
      <c r="BA241" s="691"/>
      <c r="BB241" s="691"/>
      <c r="BC241" s="691"/>
      <c r="BD241" s="691"/>
      <c r="BE241" s="691"/>
      <c r="BF241" s="691"/>
      <c r="BG241" s="691"/>
      <c r="BH241" s="691"/>
      <c r="BI241" s="691"/>
      <c r="BJ241" s="691"/>
      <c r="BK241" s="691"/>
      <c r="BL241" s="691"/>
      <c r="BM241" s="691"/>
      <c r="BN241" s="691"/>
      <c r="BO241" s="691"/>
      <c r="BP241" s="691"/>
      <c r="BQ241" s="691"/>
      <c r="BR241" s="691"/>
      <c r="BS241" s="691"/>
      <c r="BT241" s="692"/>
    </row>
    <row r="242" spans="2:73">
      <c r="B242" s="686"/>
      <c r="C242" s="686"/>
      <c r="D242" s="686"/>
      <c r="E242" s="686"/>
      <c r="F242" s="686"/>
      <c r="G242" s="686"/>
      <c r="H242" s="890"/>
      <c r="I242" s="639"/>
      <c r="J242" s="639"/>
      <c r="K242" s="628"/>
      <c r="L242" s="690"/>
      <c r="M242" s="691"/>
      <c r="N242" s="691"/>
      <c r="O242" s="691"/>
      <c r="P242" s="691"/>
      <c r="Q242" s="691"/>
      <c r="R242" s="691"/>
      <c r="S242" s="691"/>
      <c r="T242" s="691"/>
      <c r="U242" s="691"/>
      <c r="V242" s="691"/>
      <c r="W242" s="691"/>
      <c r="X242" s="691"/>
      <c r="Y242" s="691"/>
      <c r="Z242" s="691"/>
      <c r="AA242" s="691"/>
      <c r="AB242" s="691"/>
      <c r="AC242" s="691"/>
      <c r="AD242" s="691"/>
      <c r="AE242" s="691"/>
      <c r="AF242" s="691"/>
      <c r="AG242" s="691"/>
      <c r="AH242" s="691"/>
      <c r="AI242" s="691"/>
      <c r="AJ242" s="691"/>
      <c r="AK242" s="691"/>
      <c r="AL242" s="691"/>
      <c r="AM242" s="691"/>
      <c r="AN242" s="691"/>
      <c r="AO242" s="692"/>
      <c r="AP242" s="628"/>
      <c r="AQ242" s="690"/>
      <c r="AR242" s="691"/>
      <c r="AS242" s="691"/>
      <c r="AT242" s="691"/>
      <c r="AU242" s="691"/>
      <c r="AV242" s="691"/>
      <c r="AW242" s="691"/>
      <c r="AX242" s="691"/>
      <c r="AY242" s="691"/>
      <c r="AZ242" s="691"/>
      <c r="BA242" s="691"/>
      <c r="BB242" s="691"/>
      <c r="BC242" s="691"/>
      <c r="BD242" s="691"/>
      <c r="BE242" s="691"/>
      <c r="BF242" s="691"/>
      <c r="BG242" s="691"/>
      <c r="BH242" s="691"/>
      <c r="BI242" s="691"/>
      <c r="BJ242" s="691"/>
      <c r="BK242" s="691"/>
      <c r="BL242" s="691"/>
      <c r="BM242" s="691"/>
      <c r="BN242" s="691"/>
      <c r="BO242" s="691"/>
      <c r="BP242" s="691"/>
      <c r="BQ242" s="691"/>
      <c r="BR242" s="691"/>
      <c r="BS242" s="691"/>
      <c r="BT242" s="692"/>
    </row>
    <row r="243" spans="2:73">
      <c r="B243" s="686"/>
      <c r="C243" s="686"/>
      <c r="D243" s="686"/>
      <c r="E243" s="686"/>
      <c r="F243" s="686"/>
      <c r="G243" s="686"/>
      <c r="H243" s="890"/>
      <c r="I243" s="639"/>
      <c r="J243" s="639"/>
      <c r="K243" s="628"/>
      <c r="L243" s="690"/>
      <c r="M243" s="691"/>
      <c r="N243" s="691"/>
      <c r="O243" s="691"/>
      <c r="P243" s="691"/>
      <c r="Q243" s="691"/>
      <c r="R243" s="691"/>
      <c r="S243" s="691"/>
      <c r="T243" s="691"/>
      <c r="U243" s="691"/>
      <c r="V243" s="691"/>
      <c r="W243" s="691"/>
      <c r="X243" s="691"/>
      <c r="Y243" s="691"/>
      <c r="Z243" s="691"/>
      <c r="AA243" s="691"/>
      <c r="AB243" s="691"/>
      <c r="AC243" s="691"/>
      <c r="AD243" s="691"/>
      <c r="AE243" s="691"/>
      <c r="AF243" s="691"/>
      <c r="AG243" s="691"/>
      <c r="AH243" s="691"/>
      <c r="AI243" s="691"/>
      <c r="AJ243" s="691"/>
      <c r="AK243" s="691"/>
      <c r="AL243" s="691"/>
      <c r="AM243" s="691"/>
      <c r="AN243" s="691"/>
      <c r="AO243" s="692"/>
      <c r="AP243" s="628"/>
      <c r="AQ243" s="690"/>
      <c r="AR243" s="691"/>
      <c r="AS243" s="691"/>
      <c r="AT243" s="691"/>
      <c r="AU243" s="691"/>
      <c r="AV243" s="691"/>
      <c r="AW243" s="691"/>
      <c r="AX243" s="691"/>
      <c r="AY243" s="691"/>
      <c r="AZ243" s="691"/>
      <c r="BA243" s="691"/>
      <c r="BB243" s="691"/>
      <c r="BC243" s="691"/>
      <c r="BD243" s="691"/>
      <c r="BE243" s="691"/>
      <c r="BF243" s="691"/>
      <c r="BG243" s="691"/>
      <c r="BH243" s="691"/>
      <c r="BI243" s="691"/>
      <c r="BJ243" s="691"/>
      <c r="BK243" s="691"/>
      <c r="BL243" s="691"/>
      <c r="BM243" s="691"/>
      <c r="BN243" s="691"/>
      <c r="BO243" s="691"/>
      <c r="BP243" s="691"/>
      <c r="BQ243" s="691"/>
      <c r="BR243" s="691"/>
      <c r="BS243" s="691"/>
      <c r="BT243" s="692"/>
    </row>
    <row r="244" spans="2:73">
      <c r="B244" s="686"/>
      <c r="C244" s="686"/>
      <c r="D244" s="686"/>
      <c r="E244" s="686"/>
      <c r="F244" s="686"/>
      <c r="G244" s="686"/>
      <c r="H244" s="890"/>
      <c r="I244" s="639"/>
      <c r="J244" s="639"/>
      <c r="K244" s="628"/>
      <c r="L244" s="690"/>
      <c r="M244" s="691"/>
      <c r="N244" s="691"/>
      <c r="O244" s="691"/>
      <c r="P244" s="691"/>
      <c r="Q244" s="691"/>
      <c r="R244" s="691"/>
      <c r="S244" s="691"/>
      <c r="T244" s="691"/>
      <c r="U244" s="691"/>
      <c r="V244" s="691"/>
      <c r="W244" s="691"/>
      <c r="X244" s="691"/>
      <c r="Y244" s="691"/>
      <c r="Z244" s="691"/>
      <c r="AA244" s="691"/>
      <c r="AB244" s="691"/>
      <c r="AC244" s="691"/>
      <c r="AD244" s="691"/>
      <c r="AE244" s="691"/>
      <c r="AF244" s="691"/>
      <c r="AG244" s="691"/>
      <c r="AH244" s="691"/>
      <c r="AI244" s="691"/>
      <c r="AJ244" s="691"/>
      <c r="AK244" s="691"/>
      <c r="AL244" s="691"/>
      <c r="AM244" s="691"/>
      <c r="AN244" s="691"/>
      <c r="AO244" s="692"/>
      <c r="AP244" s="628"/>
      <c r="AQ244" s="690"/>
      <c r="AR244" s="691"/>
      <c r="AS244" s="691"/>
      <c r="AT244" s="691"/>
      <c r="AU244" s="691"/>
      <c r="AV244" s="691"/>
      <c r="AW244" s="691"/>
      <c r="AX244" s="691"/>
      <c r="AY244" s="691"/>
      <c r="AZ244" s="691"/>
      <c r="BA244" s="691"/>
      <c r="BB244" s="691"/>
      <c r="BC244" s="691"/>
      <c r="BD244" s="691"/>
      <c r="BE244" s="691"/>
      <c r="BF244" s="691"/>
      <c r="BG244" s="691"/>
      <c r="BH244" s="691"/>
      <c r="BI244" s="691"/>
      <c r="BJ244" s="691"/>
      <c r="BK244" s="691"/>
      <c r="BL244" s="691"/>
      <c r="BM244" s="691"/>
      <c r="BN244" s="691"/>
      <c r="BO244" s="691"/>
      <c r="BP244" s="691"/>
      <c r="BQ244" s="691"/>
      <c r="BR244" s="691"/>
      <c r="BS244" s="691"/>
      <c r="BT244" s="692"/>
    </row>
    <row r="245" spans="2:73">
      <c r="B245" s="686"/>
      <c r="C245" s="686"/>
      <c r="D245" s="686"/>
      <c r="E245" s="686"/>
      <c r="F245" s="686"/>
      <c r="G245" s="686"/>
      <c r="H245" s="890"/>
      <c r="I245" s="639"/>
      <c r="J245" s="639"/>
      <c r="K245" s="628"/>
      <c r="L245" s="690"/>
      <c r="M245" s="691"/>
      <c r="N245" s="691"/>
      <c r="O245" s="691"/>
      <c r="P245" s="691"/>
      <c r="Q245" s="691"/>
      <c r="R245" s="691"/>
      <c r="S245" s="691"/>
      <c r="T245" s="691"/>
      <c r="U245" s="691"/>
      <c r="V245" s="691"/>
      <c r="W245" s="691"/>
      <c r="X245" s="691"/>
      <c r="Y245" s="691"/>
      <c r="Z245" s="691"/>
      <c r="AA245" s="691"/>
      <c r="AB245" s="691"/>
      <c r="AC245" s="691"/>
      <c r="AD245" s="691"/>
      <c r="AE245" s="691"/>
      <c r="AF245" s="691"/>
      <c r="AG245" s="691"/>
      <c r="AH245" s="691"/>
      <c r="AI245" s="691"/>
      <c r="AJ245" s="691"/>
      <c r="AK245" s="691"/>
      <c r="AL245" s="691"/>
      <c r="AM245" s="691"/>
      <c r="AN245" s="691"/>
      <c r="AO245" s="692"/>
      <c r="AP245" s="628"/>
      <c r="AQ245" s="690"/>
      <c r="AR245" s="691"/>
      <c r="AS245" s="691"/>
      <c r="AT245" s="691"/>
      <c r="AU245" s="691"/>
      <c r="AV245" s="691"/>
      <c r="AW245" s="691"/>
      <c r="AX245" s="691"/>
      <c r="AY245" s="691"/>
      <c r="AZ245" s="691"/>
      <c r="BA245" s="691"/>
      <c r="BB245" s="691"/>
      <c r="BC245" s="691"/>
      <c r="BD245" s="691"/>
      <c r="BE245" s="691"/>
      <c r="BF245" s="691"/>
      <c r="BG245" s="691"/>
      <c r="BH245" s="691"/>
      <c r="BI245" s="691"/>
      <c r="BJ245" s="691"/>
      <c r="BK245" s="691"/>
      <c r="BL245" s="691"/>
      <c r="BM245" s="691"/>
      <c r="BN245" s="691"/>
      <c r="BO245" s="691"/>
      <c r="BP245" s="691"/>
      <c r="BQ245" s="691"/>
      <c r="BR245" s="691"/>
      <c r="BS245" s="691"/>
      <c r="BT245" s="692"/>
    </row>
    <row r="246" spans="2:73">
      <c r="B246" s="686"/>
      <c r="C246" s="686"/>
      <c r="D246" s="686"/>
      <c r="E246" s="686"/>
      <c r="F246" s="686"/>
      <c r="G246" s="686"/>
      <c r="H246" s="890"/>
      <c r="I246" s="639"/>
      <c r="J246" s="639"/>
      <c r="K246" s="628"/>
      <c r="L246" s="690"/>
      <c r="M246" s="691"/>
      <c r="N246" s="691"/>
      <c r="O246" s="691"/>
      <c r="P246" s="691"/>
      <c r="Q246" s="691"/>
      <c r="R246" s="691"/>
      <c r="S246" s="691"/>
      <c r="T246" s="691"/>
      <c r="U246" s="691"/>
      <c r="V246" s="691"/>
      <c r="W246" s="691"/>
      <c r="X246" s="691"/>
      <c r="Y246" s="691"/>
      <c r="Z246" s="691"/>
      <c r="AA246" s="691"/>
      <c r="AB246" s="691"/>
      <c r="AC246" s="691"/>
      <c r="AD246" s="691"/>
      <c r="AE246" s="691"/>
      <c r="AF246" s="691"/>
      <c r="AG246" s="691"/>
      <c r="AH246" s="691"/>
      <c r="AI246" s="691"/>
      <c r="AJ246" s="691"/>
      <c r="AK246" s="691"/>
      <c r="AL246" s="691"/>
      <c r="AM246" s="691"/>
      <c r="AN246" s="691"/>
      <c r="AO246" s="692"/>
      <c r="AP246" s="628"/>
      <c r="AQ246" s="690"/>
      <c r="AR246" s="691"/>
      <c r="AS246" s="691"/>
      <c r="AT246" s="691"/>
      <c r="AU246" s="691"/>
      <c r="AV246" s="691"/>
      <c r="AW246" s="691"/>
      <c r="AX246" s="691"/>
      <c r="AY246" s="691"/>
      <c r="AZ246" s="691"/>
      <c r="BA246" s="691"/>
      <c r="BB246" s="691"/>
      <c r="BC246" s="691"/>
      <c r="BD246" s="691"/>
      <c r="BE246" s="691"/>
      <c r="BF246" s="691"/>
      <c r="BG246" s="691"/>
      <c r="BH246" s="691"/>
      <c r="BI246" s="691"/>
      <c r="BJ246" s="691"/>
      <c r="BK246" s="691"/>
      <c r="BL246" s="691"/>
      <c r="BM246" s="691"/>
      <c r="BN246" s="691"/>
      <c r="BO246" s="691"/>
      <c r="BP246" s="691"/>
      <c r="BQ246" s="691"/>
      <c r="BR246" s="691"/>
      <c r="BS246" s="691"/>
      <c r="BT246" s="692"/>
    </row>
    <row r="247" spans="2:73">
      <c r="B247" s="686"/>
      <c r="C247" s="686"/>
      <c r="D247" s="686"/>
      <c r="E247" s="686"/>
      <c r="F247" s="686"/>
      <c r="G247" s="686"/>
      <c r="H247" s="890"/>
      <c r="I247" s="639"/>
      <c r="J247" s="639"/>
      <c r="K247" s="628"/>
      <c r="L247" s="690"/>
      <c r="M247" s="691"/>
      <c r="N247" s="691"/>
      <c r="O247" s="691"/>
      <c r="P247" s="691"/>
      <c r="Q247" s="691"/>
      <c r="R247" s="691"/>
      <c r="S247" s="691"/>
      <c r="T247" s="691"/>
      <c r="U247" s="691"/>
      <c r="V247" s="691"/>
      <c r="W247" s="691"/>
      <c r="X247" s="691"/>
      <c r="Y247" s="691"/>
      <c r="Z247" s="691"/>
      <c r="AA247" s="691"/>
      <c r="AB247" s="691"/>
      <c r="AC247" s="691"/>
      <c r="AD247" s="691"/>
      <c r="AE247" s="691"/>
      <c r="AF247" s="691"/>
      <c r="AG247" s="691"/>
      <c r="AH247" s="691"/>
      <c r="AI247" s="691"/>
      <c r="AJ247" s="691"/>
      <c r="AK247" s="691"/>
      <c r="AL247" s="691"/>
      <c r="AM247" s="691"/>
      <c r="AN247" s="691"/>
      <c r="AO247" s="692"/>
      <c r="AP247" s="628"/>
      <c r="AQ247" s="690"/>
      <c r="AR247" s="691"/>
      <c r="AS247" s="691"/>
      <c r="AT247" s="691"/>
      <c r="AU247" s="691"/>
      <c r="AV247" s="691"/>
      <c r="AW247" s="691"/>
      <c r="AX247" s="691"/>
      <c r="AY247" s="691"/>
      <c r="AZ247" s="691"/>
      <c r="BA247" s="691"/>
      <c r="BB247" s="691"/>
      <c r="BC247" s="691"/>
      <c r="BD247" s="691"/>
      <c r="BE247" s="691"/>
      <c r="BF247" s="691"/>
      <c r="BG247" s="691"/>
      <c r="BH247" s="691"/>
      <c r="BI247" s="691"/>
      <c r="BJ247" s="691"/>
      <c r="BK247" s="691"/>
      <c r="BL247" s="691"/>
      <c r="BM247" s="691"/>
      <c r="BN247" s="691"/>
      <c r="BO247" s="691"/>
      <c r="BP247" s="691"/>
      <c r="BQ247" s="691"/>
      <c r="BR247" s="691"/>
      <c r="BS247" s="691"/>
      <c r="BT247" s="692"/>
    </row>
    <row r="248" spans="2:73">
      <c r="B248" s="686"/>
      <c r="C248" s="686"/>
      <c r="D248" s="686"/>
      <c r="E248" s="686"/>
      <c r="F248" s="686"/>
      <c r="G248" s="686"/>
      <c r="H248" s="890"/>
      <c r="I248" s="639"/>
      <c r="J248" s="639"/>
      <c r="K248" s="628"/>
      <c r="L248" s="690"/>
      <c r="M248" s="691"/>
      <c r="N248" s="691"/>
      <c r="O248" s="691"/>
      <c r="P248" s="691"/>
      <c r="Q248" s="691"/>
      <c r="R248" s="691"/>
      <c r="S248" s="691"/>
      <c r="T248" s="691"/>
      <c r="U248" s="691"/>
      <c r="V248" s="691"/>
      <c r="W248" s="691"/>
      <c r="X248" s="691"/>
      <c r="Y248" s="691"/>
      <c r="Z248" s="691"/>
      <c r="AA248" s="691"/>
      <c r="AB248" s="691"/>
      <c r="AC248" s="691"/>
      <c r="AD248" s="691"/>
      <c r="AE248" s="691"/>
      <c r="AF248" s="691"/>
      <c r="AG248" s="691"/>
      <c r="AH248" s="691"/>
      <c r="AI248" s="691"/>
      <c r="AJ248" s="691"/>
      <c r="AK248" s="691"/>
      <c r="AL248" s="691"/>
      <c r="AM248" s="691"/>
      <c r="AN248" s="691"/>
      <c r="AO248" s="692"/>
      <c r="AP248" s="628"/>
      <c r="AQ248" s="690"/>
      <c r="AR248" s="691"/>
      <c r="AS248" s="691"/>
      <c r="AT248" s="691"/>
      <c r="AU248" s="691"/>
      <c r="AV248" s="691"/>
      <c r="AW248" s="691"/>
      <c r="AX248" s="691"/>
      <c r="AY248" s="691"/>
      <c r="AZ248" s="691"/>
      <c r="BA248" s="691"/>
      <c r="BB248" s="691"/>
      <c r="BC248" s="691"/>
      <c r="BD248" s="691"/>
      <c r="BE248" s="691"/>
      <c r="BF248" s="691"/>
      <c r="BG248" s="691"/>
      <c r="BH248" s="691"/>
      <c r="BI248" s="691"/>
      <c r="BJ248" s="691"/>
      <c r="BK248" s="691"/>
      <c r="BL248" s="691"/>
      <c r="BM248" s="691"/>
      <c r="BN248" s="691"/>
      <c r="BO248" s="691"/>
      <c r="BP248" s="691"/>
      <c r="BQ248" s="691"/>
      <c r="BR248" s="691"/>
      <c r="BS248" s="691"/>
      <c r="BT248" s="692"/>
    </row>
    <row r="249" spans="2:73">
      <c r="B249" s="686"/>
      <c r="C249" s="686"/>
      <c r="D249" s="686"/>
      <c r="E249" s="686"/>
      <c r="F249" s="686"/>
      <c r="G249" s="686"/>
      <c r="H249" s="890"/>
      <c r="I249" s="639"/>
      <c r="J249" s="639"/>
      <c r="K249" s="628"/>
      <c r="L249" s="690"/>
      <c r="M249" s="691"/>
      <c r="N249" s="691"/>
      <c r="O249" s="691"/>
      <c r="P249" s="691"/>
      <c r="Q249" s="691"/>
      <c r="R249" s="691"/>
      <c r="S249" s="691"/>
      <c r="T249" s="691"/>
      <c r="U249" s="691"/>
      <c r="V249" s="691"/>
      <c r="W249" s="691"/>
      <c r="X249" s="691"/>
      <c r="Y249" s="691"/>
      <c r="Z249" s="691"/>
      <c r="AA249" s="691"/>
      <c r="AB249" s="691"/>
      <c r="AC249" s="691"/>
      <c r="AD249" s="691"/>
      <c r="AE249" s="691"/>
      <c r="AF249" s="691"/>
      <c r="AG249" s="691"/>
      <c r="AH249" s="691"/>
      <c r="AI249" s="691"/>
      <c r="AJ249" s="691"/>
      <c r="AK249" s="691"/>
      <c r="AL249" s="691"/>
      <c r="AM249" s="691"/>
      <c r="AN249" s="691"/>
      <c r="AO249" s="692"/>
      <c r="AP249" s="628"/>
      <c r="AQ249" s="690"/>
      <c r="AR249" s="691"/>
      <c r="AS249" s="691"/>
      <c r="AT249" s="691"/>
      <c r="AU249" s="691"/>
      <c r="AV249" s="691"/>
      <c r="AW249" s="691"/>
      <c r="AX249" s="691"/>
      <c r="AY249" s="691"/>
      <c r="AZ249" s="691"/>
      <c r="BA249" s="691"/>
      <c r="BB249" s="691"/>
      <c r="BC249" s="691"/>
      <c r="BD249" s="691"/>
      <c r="BE249" s="691"/>
      <c r="BF249" s="691"/>
      <c r="BG249" s="691"/>
      <c r="BH249" s="691"/>
      <c r="BI249" s="691"/>
      <c r="BJ249" s="691"/>
      <c r="BK249" s="691"/>
      <c r="BL249" s="691"/>
      <c r="BM249" s="691"/>
      <c r="BN249" s="691"/>
      <c r="BO249" s="691"/>
      <c r="BP249" s="691"/>
      <c r="BQ249" s="691"/>
      <c r="BR249" s="691"/>
      <c r="BS249" s="691"/>
      <c r="BT249" s="692"/>
    </row>
    <row r="250" spans="2:73">
      <c r="B250" s="686"/>
      <c r="C250" s="686"/>
      <c r="D250" s="686"/>
      <c r="E250" s="686"/>
      <c r="F250" s="686"/>
      <c r="G250" s="686"/>
      <c r="H250" s="890"/>
      <c r="I250" s="639"/>
      <c r="J250" s="639"/>
      <c r="K250" s="628"/>
      <c r="L250" s="690"/>
      <c r="M250" s="691"/>
      <c r="N250" s="691"/>
      <c r="O250" s="691"/>
      <c r="P250" s="691"/>
      <c r="Q250" s="691"/>
      <c r="R250" s="691"/>
      <c r="S250" s="691"/>
      <c r="T250" s="691"/>
      <c r="U250" s="691"/>
      <c r="V250" s="691"/>
      <c r="W250" s="691"/>
      <c r="X250" s="691"/>
      <c r="Y250" s="691"/>
      <c r="Z250" s="691"/>
      <c r="AA250" s="691"/>
      <c r="AB250" s="691"/>
      <c r="AC250" s="691"/>
      <c r="AD250" s="691"/>
      <c r="AE250" s="691"/>
      <c r="AF250" s="691"/>
      <c r="AG250" s="691"/>
      <c r="AH250" s="691"/>
      <c r="AI250" s="691"/>
      <c r="AJ250" s="691"/>
      <c r="AK250" s="691"/>
      <c r="AL250" s="691"/>
      <c r="AM250" s="691"/>
      <c r="AN250" s="691"/>
      <c r="AO250" s="692"/>
      <c r="AP250" s="628"/>
      <c r="AQ250" s="690"/>
      <c r="AR250" s="691"/>
      <c r="AS250" s="691"/>
      <c r="AT250" s="691"/>
      <c r="AU250" s="691"/>
      <c r="AV250" s="691"/>
      <c r="AW250" s="691"/>
      <c r="AX250" s="691"/>
      <c r="AY250" s="691"/>
      <c r="AZ250" s="691"/>
      <c r="BA250" s="691"/>
      <c r="BB250" s="691"/>
      <c r="BC250" s="691"/>
      <c r="BD250" s="691"/>
      <c r="BE250" s="691"/>
      <c r="BF250" s="691"/>
      <c r="BG250" s="691"/>
      <c r="BH250" s="691"/>
      <c r="BI250" s="691"/>
      <c r="BJ250" s="691"/>
      <c r="BK250" s="691"/>
      <c r="BL250" s="691"/>
      <c r="BM250" s="691"/>
      <c r="BN250" s="691"/>
      <c r="BO250" s="691"/>
      <c r="BP250" s="691"/>
      <c r="BQ250" s="691"/>
      <c r="BR250" s="691"/>
      <c r="BS250" s="691"/>
      <c r="BT250" s="692"/>
    </row>
    <row r="251" spans="2:73" ht="15.75">
      <c r="B251" s="686"/>
      <c r="C251" s="686"/>
      <c r="D251" s="686"/>
      <c r="E251" s="686"/>
      <c r="F251" s="686"/>
      <c r="G251" s="686"/>
      <c r="H251" s="890"/>
      <c r="I251" s="639"/>
      <c r="J251" s="639"/>
      <c r="K251" s="628"/>
      <c r="L251" s="690"/>
      <c r="M251" s="691"/>
      <c r="N251" s="691"/>
      <c r="O251" s="691"/>
      <c r="P251" s="691"/>
      <c r="Q251" s="691"/>
      <c r="R251" s="691"/>
      <c r="S251" s="691"/>
      <c r="T251" s="691"/>
      <c r="U251" s="691"/>
      <c r="V251" s="691"/>
      <c r="W251" s="691"/>
      <c r="X251" s="691"/>
      <c r="Y251" s="691"/>
      <c r="Z251" s="691"/>
      <c r="AA251" s="691"/>
      <c r="AB251" s="691"/>
      <c r="AC251" s="691"/>
      <c r="AD251" s="691"/>
      <c r="AE251" s="691"/>
      <c r="AF251" s="691"/>
      <c r="AG251" s="691"/>
      <c r="AH251" s="691"/>
      <c r="AI251" s="691"/>
      <c r="AJ251" s="691"/>
      <c r="AK251" s="691"/>
      <c r="AL251" s="691"/>
      <c r="AM251" s="691"/>
      <c r="AN251" s="691"/>
      <c r="AO251" s="692"/>
      <c r="AP251" s="628"/>
      <c r="AQ251" s="690"/>
      <c r="AR251" s="691"/>
      <c r="AS251" s="691"/>
      <c r="AT251" s="691"/>
      <c r="AU251" s="691"/>
      <c r="AV251" s="691"/>
      <c r="AW251" s="691"/>
      <c r="AX251" s="691"/>
      <c r="AY251" s="691"/>
      <c r="AZ251" s="691"/>
      <c r="BA251" s="691"/>
      <c r="BB251" s="691"/>
      <c r="BC251" s="691"/>
      <c r="BD251" s="691"/>
      <c r="BE251" s="691"/>
      <c r="BF251" s="691"/>
      <c r="BG251" s="691"/>
      <c r="BH251" s="691"/>
      <c r="BI251" s="691"/>
      <c r="BJ251" s="691"/>
      <c r="BK251" s="691"/>
      <c r="BL251" s="691"/>
      <c r="BM251" s="691"/>
      <c r="BN251" s="691"/>
      <c r="BO251" s="691"/>
      <c r="BP251" s="691"/>
      <c r="BQ251" s="691"/>
      <c r="BR251" s="691"/>
      <c r="BS251" s="691"/>
      <c r="BT251" s="692"/>
      <c r="BU251" s="163"/>
    </row>
    <row r="252" spans="2:73" ht="15.75">
      <c r="B252" s="686"/>
      <c r="C252" s="686"/>
      <c r="D252" s="686"/>
      <c r="E252" s="686"/>
      <c r="F252" s="686"/>
      <c r="G252" s="686"/>
      <c r="H252" s="890"/>
      <c r="I252" s="639"/>
      <c r="J252" s="639"/>
      <c r="K252" s="628"/>
      <c r="L252" s="690"/>
      <c r="M252" s="691"/>
      <c r="N252" s="691"/>
      <c r="O252" s="691"/>
      <c r="P252" s="691"/>
      <c r="Q252" s="691"/>
      <c r="R252" s="691"/>
      <c r="S252" s="691"/>
      <c r="T252" s="691"/>
      <c r="U252" s="691"/>
      <c r="V252" s="691"/>
      <c r="W252" s="691"/>
      <c r="X252" s="691"/>
      <c r="Y252" s="691"/>
      <c r="Z252" s="691"/>
      <c r="AA252" s="691"/>
      <c r="AB252" s="691"/>
      <c r="AC252" s="691"/>
      <c r="AD252" s="691"/>
      <c r="AE252" s="691"/>
      <c r="AF252" s="691"/>
      <c r="AG252" s="691"/>
      <c r="AH252" s="691"/>
      <c r="AI252" s="691"/>
      <c r="AJ252" s="691"/>
      <c r="AK252" s="691"/>
      <c r="AL252" s="691"/>
      <c r="AM252" s="691"/>
      <c r="AN252" s="691"/>
      <c r="AO252" s="692"/>
      <c r="AP252" s="628"/>
      <c r="AQ252" s="690"/>
      <c r="AR252" s="691"/>
      <c r="AS252" s="691"/>
      <c r="AT252" s="691"/>
      <c r="AU252" s="691"/>
      <c r="AV252" s="691"/>
      <c r="AW252" s="691"/>
      <c r="AX252" s="691"/>
      <c r="AY252" s="691"/>
      <c r="AZ252" s="691"/>
      <c r="BA252" s="691"/>
      <c r="BB252" s="691"/>
      <c r="BC252" s="691"/>
      <c r="BD252" s="691"/>
      <c r="BE252" s="691"/>
      <c r="BF252" s="691"/>
      <c r="BG252" s="691"/>
      <c r="BH252" s="691"/>
      <c r="BI252" s="691"/>
      <c r="BJ252" s="691"/>
      <c r="BK252" s="691"/>
      <c r="BL252" s="691"/>
      <c r="BM252" s="691"/>
      <c r="BN252" s="691"/>
      <c r="BO252" s="691"/>
      <c r="BP252" s="691"/>
      <c r="BQ252" s="691"/>
      <c r="BR252" s="691"/>
      <c r="BS252" s="691"/>
      <c r="BT252" s="692"/>
      <c r="BU252" s="163"/>
    </row>
    <row r="253" spans="2:73" ht="15.75">
      <c r="B253" s="686"/>
      <c r="C253" s="686"/>
      <c r="D253" s="686"/>
      <c r="E253" s="686"/>
      <c r="F253" s="686"/>
      <c r="G253" s="686"/>
      <c r="H253" s="890"/>
      <c r="I253" s="639"/>
      <c r="J253" s="639"/>
      <c r="K253" s="628"/>
      <c r="L253" s="690"/>
      <c r="M253" s="691"/>
      <c r="N253" s="691"/>
      <c r="O253" s="691"/>
      <c r="P253" s="691"/>
      <c r="Q253" s="691"/>
      <c r="R253" s="691"/>
      <c r="S253" s="691"/>
      <c r="T253" s="691"/>
      <c r="U253" s="691"/>
      <c r="V253" s="691"/>
      <c r="W253" s="691"/>
      <c r="X253" s="691"/>
      <c r="Y253" s="691"/>
      <c r="Z253" s="691"/>
      <c r="AA253" s="691"/>
      <c r="AB253" s="691"/>
      <c r="AC253" s="691"/>
      <c r="AD253" s="691"/>
      <c r="AE253" s="691"/>
      <c r="AF253" s="691"/>
      <c r="AG253" s="691"/>
      <c r="AH253" s="691"/>
      <c r="AI253" s="691"/>
      <c r="AJ253" s="691"/>
      <c r="AK253" s="691"/>
      <c r="AL253" s="691"/>
      <c r="AM253" s="691"/>
      <c r="AN253" s="691"/>
      <c r="AO253" s="692"/>
      <c r="AP253" s="628"/>
      <c r="AQ253" s="690"/>
      <c r="AR253" s="691"/>
      <c r="AS253" s="691"/>
      <c r="AT253" s="691"/>
      <c r="AU253" s="691"/>
      <c r="AV253" s="691"/>
      <c r="AW253" s="691"/>
      <c r="AX253" s="691"/>
      <c r="AY253" s="691"/>
      <c r="AZ253" s="691"/>
      <c r="BA253" s="691"/>
      <c r="BB253" s="691"/>
      <c r="BC253" s="691"/>
      <c r="BD253" s="691"/>
      <c r="BE253" s="691"/>
      <c r="BF253" s="691"/>
      <c r="BG253" s="691"/>
      <c r="BH253" s="691"/>
      <c r="BI253" s="691"/>
      <c r="BJ253" s="691"/>
      <c r="BK253" s="691"/>
      <c r="BL253" s="691"/>
      <c r="BM253" s="691"/>
      <c r="BN253" s="691"/>
      <c r="BO253" s="691"/>
      <c r="BP253" s="691"/>
      <c r="BQ253" s="691"/>
      <c r="BR253" s="691"/>
      <c r="BS253" s="691"/>
      <c r="BT253" s="692"/>
      <c r="BU253" s="163"/>
    </row>
    <row r="254" spans="2:73" ht="15.75">
      <c r="B254" s="686"/>
      <c r="C254" s="686"/>
      <c r="D254" s="686"/>
      <c r="E254" s="686"/>
      <c r="F254" s="686"/>
      <c r="G254" s="686"/>
      <c r="H254" s="890"/>
      <c r="I254" s="639"/>
      <c r="J254" s="639"/>
      <c r="K254" s="628"/>
      <c r="L254" s="690"/>
      <c r="M254" s="691"/>
      <c r="N254" s="691"/>
      <c r="O254" s="691"/>
      <c r="P254" s="691"/>
      <c r="Q254" s="691"/>
      <c r="R254" s="691"/>
      <c r="S254" s="691"/>
      <c r="T254" s="691"/>
      <c r="U254" s="691"/>
      <c r="V254" s="691"/>
      <c r="W254" s="691"/>
      <c r="X254" s="691"/>
      <c r="Y254" s="691"/>
      <c r="Z254" s="691"/>
      <c r="AA254" s="691"/>
      <c r="AB254" s="691"/>
      <c r="AC254" s="691"/>
      <c r="AD254" s="691"/>
      <c r="AE254" s="691"/>
      <c r="AF254" s="691"/>
      <c r="AG254" s="691"/>
      <c r="AH254" s="691"/>
      <c r="AI254" s="691"/>
      <c r="AJ254" s="691"/>
      <c r="AK254" s="691"/>
      <c r="AL254" s="691"/>
      <c r="AM254" s="691"/>
      <c r="AN254" s="691"/>
      <c r="AO254" s="692"/>
      <c r="AP254" s="628"/>
      <c r="AQ254" s="690"/>
      <c r="AR254" s="691"/>
      <c r="AS254" s="691"/>
      <c r="AT254" s="691"/>
      <c r="AU254" s="691"/>
      <c r="AV254" s="691"/>
      <c r="AW254" s="691"/>
      <c r="AX254" s="691"/>
      <c r="AY254" s="691"/>
      <c r="AZ254" s="691"/>
      <c r="BA254" s="691"/>
      <c r="BB254" s="691"/>
      <c r="BC254" s="691"/>
      <c r="BD254" s="691"/>
      <c r="BE254" s="691"/>
      <c r="BF254" s="691"/>
      <c r="BG254" s="691"/>
      <c r="BH254" s="691"/>
      <c r="BI254" s="691"/>
      <c r="BJ254" s="691"/>
      <c r="BK254" s="691"/>
      <c r="BL254" s="691"/>
      <c r="BM254" s="691"/>
      <c r="BN254" s="691"/>
      <c r="BO254" s="691"/>
      <c r="BP254" s="691"/>
      <c r="BQ254" s="691"/>
      <c r="BR254" s="691"/>
      <c r="BS254" s="691"/>
      <c r="BT254" s="692"/>
      <c r="BU254" s="163"/>
    </row>
    <row r="255" spans="2:73" ht="15.75">
      <c r="B255" s="686"/>
      <c r="C255" s="686"/>
      <c r="D255" s="686"/>
      <c r="E255" s="686"/>
      <c r="F255" s="686"/>
      <c r="G255" s="686"/>
      <c r="H255" s="890"/>
      <c r="I255" s="639"/>
      <c r="J255" s="639"/>
      <c r="K255" s="628"/>
      <c r="L255" s="690"/>
      <c r="M255" s="691"/>
      <c r="N255" s="691"/>
      <c r="O255" s="691"/>
      <c r="P255" s="691"/>
      <c r="Q255" s="691"/>
      <c r="R255" s="691"/>
      <c r="S255" s="691"/>
      <c r="T255" s="691"/>
      <c r="U255" s="691"/>
      <c r="V255" s="691"/>
      <c r="W255" s="691"/>
      <c r="X255" s="691"/>
      <c r="Y255" s="691"/>
      <c r="Z255" s="691"/>
      <c r="AA255" s="691"/>
      <c r="AB255" s="691"/>
      <c r="AC255" s="691"/>
      <c r="AD255" s="691"/>
      <c r="AE255" s="691"/>
      <c r="AF255" s="691"/>
      <c r="AG255" s="691"/>
      <c r="AH255" s="691"/>
      <c r="AI255" s="691"/>
      <c r="AJ255" s="691"/>
      <c r="AK255" s="691"/>
      <c r="AL255" s="691"/>
      <c r="AM255" s="691"/>
      <c r="AN255" s="691"/>
      <c r="AO255" s="692"/>
      <c r="AP255" s="628"/>
      <c r="AQ255" s="690"/>
      <c r="AR255" s="691"/>
      <c r="AS255" s="691"/>
      <c r="AT255" s="691"/>
      <c r="AU255" s="691"/>
      <c r="AV255" s="691"/>
      <c r="AW255" s="691"/>
      <c r="AX255" s="691"/>
      <c r="AY255" s="691"/>
      <c r="AZ255" s="691"/>
      <c r="BA255" s="691"/>
      <c r="BB255" s="691"/>
      <c r="BC255" s="691"/>
      <c r="BD255" s="691"/>
      <c r="BE255" s="691"/>
      <c r="BF255" s="691"/>
      <c r="BG255" s="691"/>
      <c r="BH255" s="691"/>
      <c r="BI255" s="691"/>
      <c r="BJ255" s="691"/>
      <c r="BK255" s="691"/>
      <c r="BL255" s="691"/>
      <c r="BM255" s="691"/>
      <c r="BN255" s="691"/>
      <c r="BO255" s="691"/>
      <c r="BP255" s="691"/>
      <c r="BQ255" s="691"/>
      <c r="BR255" s="691"/>
      <c r="BS255" s="691"/>
      <c r="BT255" s="692"/>
      <c r="BU255" s="163"/>
    </row>
    <row r="256" spans="2:73">
      <c r="B256" s="686"/>
      <c r="C256" s="686"/>
      <c r="D256" s="686"/>
      <c r="E256" s="686"/>
      <c r="F256" s="686"/>
      <c r="G256" s="686"/>
      <c r="H256" s="890"/>
      <c r="I256" s="639"/>
      <c r="J256" s="639"/>
      <c r="K256" s="628"/>
      <c r="L256" s="690"/>
      <c r="M256" s="691"/>
      <c r="N256" s="691"/>
      <c r="O256" s="691"/>
      <c r="P256" s="691"/>
      <c r="Q256" s="691"/>
      <c r="R256" s="691"/>
      <c r="S256" s="691"/>
      <c r="T256" s="691"/>
      <c r="U256" s="691"/>
      <c r="V256" s="691"/>
      <c r="W256" s="691"/>
      <c r="X256" s="691"/>
      <c r="Y256" s="691"/>
      <c r="Z256" s="691"/>
      <c r="AA256" s="691"/>
      <c r="AB256" s="691"/>
      <c r="AC256" s="691"/>
      <c r="AD256" s="691"/>
      <c r="AE256" s="691"/>
      <c r="AF256" s="691"/>
      <c r="AG256" s="691"/>
      <c r="AH256" s="691"/>
      <c r="AI256" s="691"/>
      <c r="AJ256" s="691"/>
      <c r="AK256" s="691"/>
      <c r="AL256" s="691"/>
      <c r="AM256" s="691"/>
      <c r="AN256" s="691"/>
      <c r="AO256" s="692"/>
      <c r="AP256" s="628"/>
      <c r="AQ256" s="690"/>
      <c r="AR256" s="691"/>
      <c r="AS256" s="691"/>
      <c r="AT256" s="691"/>
      <c r="AU256" s="691"/>
      <c r="AV256" s="691"/>
      <c r="AW256" s="691"/>
      <c r="AX256" s="691"/>
      <c r="AY256" s="691"/>
      <c r="AZ256" s="691"/>
      <c r="BA256" s="691"/>
      <c r="BB256" s="691"/>
      <c r="BC256" s="691"/>
      <c r="BD256" s="691"/>
      <c r="BE256" s="691"/>
      <c r="BF256" s="691"/>
      <c r="BG256" s="691"/>
      <c r="BH256" s="691"/>
      <c r="BI256" s="691"/>
      <c r="BJ256" s="691"/>
      <c r="BK256" s="691"/>
      <c r="BL256" s="691"/>
      <c r="BM256" s="691"/>
      <c r="BN256" s="691"/>
      <c r="BO256" s="691"/>
      <c r="BP256" s="691"/>
      <c r="BQ256" s="691"/>
      <c r="BR256" s="691"/>
      <c r="BS256" s="691"/>
      <c r="BT256" s="692"/>
    </row>
    <row r="257" spans="2:73" ht="15.75">
      <c r="B257" s="686"/>
      <c r="C257" s="686"/>
      <c r="D257" s="686"/>
      <c r="E257" s="686"/>
      <c r="F257" s="686"/>
      <c r="G257" s="686"/>
      <c r="H257" s="890"/>
      <c r="I257" s="639"/>
      <c r="J257" s="639"/>
      <c r="K257" s="628"/>
      <c r="L257" s="690"/>
      <c r="M257" s="691"/>
      <c r="N257" s="691"/>
      <c r="O257" s="691"/>
      <c r="P257" s="691"/>
      <c r="Q257" s="691"/>
      <c r="R257" s="691"/>
      <c r="S257" s="691"/>
      <c r="T257" s="691"/>
      <c r="U257" s="691"/>
      <c r="V257" s="691"/>
      <c r="W257" s="691"/>
      <c r="X257" s="691"/>
      <c r="Y257" s="691"/>
      <c r="Z257" s="691"/>
      <c r="AA257" s="691"/>
      <c r="AB257" s="691"/>
      <c r="AC257" s="691"/>
      <c r="AD257" s="691"/>
      <c r="AE257" s="691"/>
      <c r="AF257" s="691"/>
      <c r="AG257" s="691"/>
      <c r="AH257" s="691"/>
      <c r="AI257" s="691"/>
      <c r="AJ257" s="691"/>
      <c r="AK257" s="691"/>
      <c r="AL257" s="691"/>
      <c r="AM257" s="691"/>
      <c r="AN257" s="691"/>
      <c r="AO257" s="692"/>
      <c r="AP257" s="628"/>
      <c r="AQ257" s="690"/>
      <c r="AR257" s="691"/>
      <c r="AS257" s="691"/>
      <c r="AT257" s="691"/>
      <c r="AU257" s="691"/>
      <c r="AV257" s="691"/>
      <c r="AW257" s="691"/>
      <c r="AX257" s="691"/>
      <c r="AY257" s="691"/>
      <c r="AZ257" s="691"/>
      <c r="BA257" s="691"/>
      <c r="BB257" s="691"/>
      <c r="BC257" s="691"/>
      <c r="BD257" s="691"/>
      <c r="BE257" s="691"/>
      <c r="BF257" s="691"/>
      <c r="BG257" s="691"/>
      <c r="BH257" s="691"/>
      <c r="BI257" s="691"/>
      <c r="BJ257" s="691"/>
      <c r="BK257" s="691"/>
      <c r="BL257" s="691"/>
      <c r="BM257" s="691"/>
      <c r="BN257" s="691"/>
      <c r="BO257" s="691"/>
      <c r="BP257" s="691"/>
      <c r="BQ257" s="691"/>
      <c r="BR257" s="691"/>
      <c r="BS257" s="691"/>
      <c r="BT257" s="692"/>
      <c r="BU257" s="163"/>
    </row>
    <row r="258" spans="2:73" ht="15.75">
      <c r="B258" s="686"/>
      <c r="C258" s="686"/>
      <c r="D258" s="686"/>
      <c r="E258" s="686"/>
      <c r="F258" s="686"/>
      <c r="G258" s="686"/>
      <c r="H258" s="890"/>
      <c r="I258" s="639"/>
      <c r="J258" s="639"/>
      <c r="K258" s="628"/>
      <c r="L258" s="693"/>
      <c r="M258" s="694"/>
      <c r="N258" s="694"/>
      <c r="O258" s="694"/>
      <c r="P258" s="694"/>
      <c r="Q258" s="694"/>
      <c r="R258" s="694"/>
      <c r="S258" s="694"/>
      <c r="T258" s="694"/>
      <c r="U258" s="694"/>
      <c r="V258" s="694"/>
      <c r="W258" s="694"/>
      <c r="X258" s="694"/>
      <c r="Y258" s="694"/>
      <c r="Z258" s="694"/>
      <c r="AA258" s="694"/>
      <c r="AB258" s="694"/>
      <c r="AC258" s="694"/>
      <c r="AD258" s="694"/>
      <c r="AE258" s="694"/>
      <c r="AF258" s="694"/>
      <c r="AG258" s="694"/>
      <c r="AH258" s="694"/>
      <c r="AI258" s="694"/>
      <c r="AJ258" s="694"/>
      <c r="AK258" s="694"/>
      <c r="AL258" s="694"/>
      <c r="AM258" s="694"/>
      <c r="AN258" s="694"/>
      <c r="AO258" s="695"/>
      <c r="AP258" s="628"/>
      <c r="AQ258" s="693"/>
      <c r="AR258" s="694"/>
      <c r="AS258" s="694"/>
      <c r="AT258" s="694"/>
      <c r="AU258" s="694"/>
      <c r="AV258" s="694"/>
      <c r="AW258" s="694"/>
      <c r="AX258" s="694"/>
      <c r="AY258" s="694"/>
      <c r="AZ258" s="694"/>
      <c r="BA258" s="694"/>
      <c r="BB258" s="694"/>
      <c r="BC258" s="694"/>
      <c r="BD258" s="694"/>
      <c r="BE258" s="694"/>
      <c r="BF258" s="694"/>
      <c r="BG258" s="694"/>
      <c r="BH258" s="694"/>
      <c r="BI258" s="694"/>
      <c r="BJ258" s="694"/>
      <c r="BK258" s="694"/>
      <c r="BL258" s="694"/>
      <c r="BM258" s="694"/>
      <c r="BN258" s="694"/>
      <c r="BO258" s="694"/>
      <c r="BP258" s="694"/>
      <c r="BQ258" s="694"/>
      <c r="BR258" s="694"/>
      <c r="BS258" s="694"/>
      <c r="BT258" s="695"/>
      <c r="BU258" s="163"/>
    </row>
  </sheetData>
  <autoFilter ref="C26:BT222" xr:uid="{00000000-0009-0000-0000-00000C000000}"/>
  <mergeCells count="1">
    <mergeCell ref="C24:G24"/>
  </mergeCells>
  <conditionalFormatting sqref="L27:AO69 AQ37:BT71">
    <cfRule type="cellIs" dxfId="16" priority="19" operator="equal">
      <formula>0</formula>
    </cfRule>
  </conditionalFormatting>
  <conditionalFormatting sqref="L110:AO209 AQ108:BT209 L223:AO258 AQ223:BT258">
    <cfRule type="cellIs" dxfId="15" priority="16" operator="equal">
      <formula>0</formula>
    </cfRule>
  </conditionalFormatting>
  <conditionalFormatting sqref="L74:AO86 AQ72:BT88">
    <cfRule type="cellIs" dxfId="14" priority="18" operator="equal">
      <formula>0</formula>
    </cfRule>
  </conditionalFormatting>
  <conditionalFormatting sqref="L91:AO105 AQ89:BT107">
    <cfRule type="cellIs" dxfId="13" priority="17" operator="equal">
      <formula>0</formula>
    </cfRule>
  </conditionalFormatting>
  <conditionalFormatting sqref="L27:AO32">
    <cfRule type="cellIs" dxfId="12" priority="15" operator="equal">
      <formula>0</formula>
    </cfRule>
  </conditionalFormatting>
  <conditionalFormatting sqref="L33:AO43 AQ41:BT43">
    <cfRule type="cellIs" dxfId="11" priority="14" operator="equal">
      <formula>0</formula>
    </cfRule>
  </conditionalFormatting>
  <conditionalFormatting sqref="L70:AO73">
    <cfRule type="cellIs" dxfId="10" priority="13" operator="equal">
      <formula>0</formula>
    </cfRule>
  </conditionalFormatting>
  <conditionalFormatting sqref="L87:AO90">
    <cfRule type="cellIs" dxfId="9" priority="12" operator="equal">
      <formula>0</formula>
    </cfRule>
  </conditionalFormatting>
  <conditionalFormatting sqref="L106:AO109">
    <cfRule type="cellIs" dxfId="8" priority="11" operator="equal">
      <formula>0</formula>
    </cfRule>
  </conditionalFormatting>
  <conditionalFormatting sqref="AQ27:BT28">
    <cfRule type="cellIs" dxfId="7" priority="10" operator="equal">
      <formula>0</formula>
    </cfRule>
  </conditionalFormatting>
  <conditionalFormatting sqref="AQ29:BT40">
    <cfRule type="cellIs" dxfId="6" priority="8" operator="equal">
      <formula>0</formula>
    </cfRule>
  </conditionalFormatting>
  <conditionalFormatting sqref="L210:AO222 AQ210:AW214 BC210:BT214 AQ215:BT222">
    <cfRule type="cellIs" dxfId="5" priority="7" operator="equal">
      <formula>0</formula>
    </cfRule>
  </conditionalFormatting>
  <conditionalFormatting sqref="AX210:BB210">
    <cfRule type="cellIs" dxfId="4" priority="5" operator="equal">
      <formula>0</formula>
    </cfRule>
  </conditionalFormatting>
  <conditionalFormatting sqref="AX211:BB211">
    <cfRule type="cellIs" dxfId="3" priority="4" operator="equal">
      <formula>0</formula>
    </cfRule>
  </conditionalFormatting>
  <conditionalFormatting sqref="AX212:BB212">
    <cfRule type="cellIs" dxfId="2" priority="3" operator="equal">
      <formula>0</formula>
    </cfRule>
  </conditionalFormatting>
  <conditionalFormatting sqref="AX213:BB213">
    <cfRule type="cellIs" dxfId="1" priority="2" operator="equal">
      <formula>0</formula>
    </cfRule>
  </conditionalFormatting>
  <conditionalFormatting sqref="AX214:BB214">
    <cfRule type="cellIs" dxfId="0" priority="1" operator="equal">
      <formula>0</formula>
    </cfRule>
  </conditionalFormatting>
  <pageMargins left="0.24" right="0.21" top="0.75" bottom="0.75" header="0.3" footer="0.3"/>
  <pageSetup paperSize="5" scale="77"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1000000}">
          <x14:formula1>
            <xm:f>DropDownList!$H$2:$H$3</xm:f>
          </x14:formula1>
          <xm:sqref>J223:J1048576</xm:sqref>
        </x14:dataValidation>
        <x14:dataValidation type="list" allowBlank="1" showInputMessage="1" showErrorMessage="1" xr:uid="{2FB81C61-44A0-4F9B-B0DA-3870875701F8}">
          <x14:formula1>
            <xm:f>'R:\IRM Applications\2021 Application\2018 LRAM Calculation\[2018_2017 LRAMVA_Workform Catherine_2020 0512.xlsx]DropDownList'!#REF!</xm:f>
          </x14:formula1>
          <xm:sqref>I27:J209 J210:J222</xm:sqref>
        </x14:dataValidation>
        <x14:dataValidation type="list" allowBlank="1" showInputMessage="1" showErrorMessage="1" xr:uid="{00000000-0002-0000-0C00-000000000000}">
          <x14:formula1>
            <xm:f>DropDownList!$G$2:$G$11</xm:f>
          </x14:formula1>
          <xm:sqref>I210:I1048576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pageSetUpPr fitToPage="1"/>
  </sheetPr>
  <dimension ref="A12:V98"/>
  <sheetViews>
    <sheetView topLeftCell="A25" zoomScale="115" zoomScaleNormal="115" workbookViewId="0">
      <selection activeCell="F40" sqref="F40"/>
    </sheetView>
  </sheetViews>
  <sheetFormatPr defaultColWidth="9" defaultRowHeight="15"/>
  <cols>
    <col min="1" max="1" width="3" style="12" customWidth="1"/>
    <col min="2" max="2" width="10" style="12" customWidth="1"/>
    <col min="3" max="3" width="11.28515625" style="12" customWidth="1"/>
    <col min="4" max="5" width="13.28515625" style="12" customWidth="1"/>
    <col min="6" max="6" width="12.85546875" style="12" customWidth="1"/>
    <col min="7" max="7" width="13.5703125" style="12" customWidth="1"/>
    <col min="8" max="8" width="12.140625" style="12" customWidth="1"/>
    <col min="9" max="9" width="12.5703125" style="12" customWidth="1"/>
    <col min="10" max="10" width="14.28515625" style="12" customWidth="1"/>
    <col min="11" max="11" width="10.5703125" style="12" bestFit="1" customWidth="1"/>
    <col min="12" max="12" width="11.5703125" style="12" customWidth="1"/>
    <col min="13" max="13" width="5.5703125" style="12" customWidth="1"/>
    <col min="14" max="14" width="12.7109375" style="12" customWidth="1"/>
    <col min="15" max="15" width="10" style="12" customWidth="1"/>
    <col min="16" max="16" width="11.7109375" style="12" bestFit="1" customWidth="1"/>
    <col min="17" max="17" width="9.85546875" style="12" customWidth="1"/>
    <col min="18" max="18" width="10.140625" style="12" bestFit="1" customWidth="1"/>
    <col min="19" max="19" width="11.140625" style="12" customWidth="1"/>
    <col min="20" max="21" width="10.5703125" style="12" bestFit="1" customWidth="1"/>
    <col min="22" max="22" width="14.28515625" style="12" bestFit="1" customWidth="1"/>
    <col min="23" max="16384" width="9" style="12"/>
  </cols>
  <sheetData>
    <row r="12" spans="1:18" ht="24" customHeight="1" thickBot="1"/>
    <row r="13" spans="1:18" s="9" customFormat="1" ht="23.45" customHeight="1" thickBot="1">
      <c r="A13" s="583"/>
      <c r="B13" s="583" t="s">
        <v>171</v>
      </c>
      <c r="D13" s="126" t="s">
        <v>175</v>
      </c>
      <c r="E13" s="843"/>
      <c r="F13" s="740"/>
      <c r="G13" s="177"/>
      <c r="H13" s="178"/>
      <c r="I13" s="179"/>
      <c r="L13" s="179"/>
      <c r="M13" s="177"/>
      <c r="N13" s="177"/>
      <c r="O13" s="177"/>
      <c r="P13" s="177"/>
      <c r="Q13" s="177"/>
      <c r="R13" s="180"/>
    </row>
    <row r="14" spans="1:18" s="9" customFormat="1" ht="15.75" customHeight="1">
      <c r="B14" s="546"/>
      <c r="D14" s="17"/>
      <c r="E14" s="17"/>
      <c r="F14" s="17"/>
      <c r="G14" s="177"/>
      <c r="H14" s="178"/>
      <c r="I14" s="179"/>
      <c r="L14" s="179"/>
      <c r="M14" s="177"/>
      <c r="N14" s="177"/>
      <c r="O14" s="177"/>
      <c r="P14" s="177"/>
      <c r="Q14" s="177"/>
      <c r="R14" s="180"/>
    </row>
    <row r="15" spans="1:18" ht="15.75">
      <c r="B15" s="583" t="s">
        <v>505</v>
      </c>
    </row>
    <row r="16" spans="1:18" ht="15.75">
      <c r="B16" s="583"/>
    </row>
    <row r="17" spans="2:22" s="663" customFormat="1" ht="20.45" customHeight="1">
      <c r="B17" s="661" t="s">
        <v>660</v>
      </c>
      <c r="C17" s="662"/>
      <c r="D17" s="662"/>
      <c r="E17" s="662"/>
      <c r="F17" s="662"/>
      <c r="G17" s="662"/>
      <c r="H17" s="662"/>
      <c r="I17" s="662"/>
      <c r="J17" s="662"/>
      <c r="K17" s="662"/>
      <c r="L17" s="662"/>
      <c r="M17" s="662"/>
      <c r="N17" s="662"/>
      <c r="O17" s="662"/>
      <c r="P17" s="662"/>
      <c r="Q17" s="662"/>
      <c r="R17" s="662"/>
      <c r="S17" s="662"/>
      <c r="T17" s="662"/>
      <c r="U17" s="662"/>
      <c r="V17" s="662"/>
    </row>
    <row r="18" spans="2:22" ht="60" customHeight="1">
      <c r="B18" s="1214" t="s">
        <v>691</v>
      </c>
      <c r="C18" s="1214"/>
      <c r="D18" s="1214"/>
      <c r="E18" s="1214"/>
      <c r="F18" s="1214"/>
      <c r="G18" s="1214"/>
      <c r="H18" s="1214"/>
      <c r="I18" s="1214"/>
      <c r="J18" s="1214"/>
      <c r="K18" s="1214"/>
      <c r="L18" s="1214"/>
      <c r="M18" s="1214"/>
      <c r="N18" s="1214"/>
      <c r="O18" s="1214"/>
      <c r="P18" s="1214"/>
      <c r="Q18" s="1214"/>
      <c r="R18" s="1214"/>
      <c r="S18" s="1214"/>
      <c r="T18" s="1214"/>
      <c r="U18" s="1214"/>
      <c r="V18" s="1214"/>
    </row>
    <row r="19" spans="2:22" ht="5.45" customHeight="1"/>
    <row r="20" spans="2:22" ht="21">
      <c r="B20" s="845" t="s">
        <v>838</v>
      </c>
    </row>
    <row r="21" spans="2:22" ht="30">
      <c r="B21" s="870"/>
      <c r="C21" s="859"/>
      <c r="D21" s="859"/>
      <c r="E21" s="879"/>
      <c r="F21" s="871" t="s">
        <v>834</v>
      </c>
      <c r="G21" s="871" t="s">
        <v>835</v>
      </c>
      <c r="H21" s="873" t="s">
        <v>836</v>
      </c>
      <c r="I21" s="883" t="s">
        <v>840</v>
      </c>
      <c r="J21" s="874"/>
    </row>
    <row r="22" spans="2:22">
      <c r="B22" s="881" t="s">
        <v>839</v>
      </c>
      <c r="C22" s="860"/>
      <c r="D22" s="860"/>
      <c r="E22" s="880"/>
      <c r="F22" s="876" t="s">
        <v>28</v>
      </c>
      <c r="G22" s="876" t="s">
        <v>28</v>
      </c>
      <c r="H22" s="877" t="s">
        <v>28</v>
      </c>
      <c r="I22" s="868" t="s">
        <v>28</v>
      </c>
      <c r="J22" s="869" t="s">
        <v>27</v>
      </c>
    </row>
    <row r="23" spans="2:22">
      <c r="B23" s="867" t="s">
        <v>837</v>
      </c>
      <c r="C23" s="865"/>
      <c r="D23" s="865"/>
      <c r="E23" s="866"/>
      <c r="F23" s="878">
        <f>+G45</f>
        <v>4350.6621000000005</v>
      </c>
      <c r="G23" s="875">
        <f>+G69</f>
        <v>562.57626599999821</v>
      </c>
      <c r="H23" s="875">
        <f>+G93</f>
        <v>1463.1690149999999</v>
      </c>
      <c r="I23" s="895">
        <f>SUM(F23:H23)</f>
        <v>6376.4073809999991</v>
      </c>
      <c r="J23" s="892">
        <v>2286980.2759515466</v>
      </c>
      <c r="K23" s="894"/>
    </row>
    <row r="24" spans="2:22">
      <c r="B24" s="863" t="s">
        <v>825</v>
      </c>
      <c r="C24" s="861"/>
      <c r="D24" s="861"/>
      <c r="E24" s="862"/>
      <c r="F24" s="872">
        <f>+G46</f>
        <v>15161.957999999999</v>
      </c>
      <c r="G24" s="840">
        <f>+G70</f>
        <v>1316.6065079999967</v>
      </c>
      <c r="H24" s="840">
        <f>G94</f>
        <v>5396.394096</v>
      </c>
      <c r="I24" s="895">
        <f t="shared" ref="I24:I26" si="0">SUM(F24:H24)</f>
        <v>21874.958603999996</v>
      </c>
      <c r="J24" s="882">
        <v>7845232.4222105686</v>
      </c>
      <c r="K24" s="894"/>
    </row>
    <row r="25" spans="2:22">
      <c r="B25" s="864" t="s">
        <v>826</v>
      </c>
      <c r="C25" s="861"/>
      <c r="D25" s="861"/>
      <c r="E25" s="862"/>
      <c r="F25" s="872">
        <f>+G47</f>
        <v>15161.957999999999</v>
      </c>
      <c r="G25" s="840">
        <f t="shared" ref="G25:G26" si="1">G71</f>
        <v>1316.6065079999967</v>
      </c>
      <c r="H25" s="840">
        <f t="shared" ref="H25:H26" si="2">G95</f>
        <v>5396.394096</v>
      </c>
      <c r="I25" s="895">
        <f t="shared" si="0"/>
        <v>21874.958603999996</v>
      </c>
      <c r="J25" s="882">
        <v>7845232.4222105686</v>
      </c>
      <c r="K25" s="894"/>
    </row>
    <row r="26" spans="2:22">
      <c r="B26" s="864" t="s">
        <v>827</v>
      </c>
      <c r="C26" s="861"/>
      <c r="D26" s="861"/>
      <c r="E26" s="862"/>
      <c r="F26" s="872">
        <f>+G48</f>
        <v>15161.957999999999</v>
      </c>
      <c r="G26" s="840">
        <f t="shared" si="1"/>
        <v>1316.6065079999967</v>
      </c>
      <c r="H26" s="840">
        <f t="shared" si="2"/>
        <v>5396.394096</v>
      </c>
      <c r="I26" s="895">
        <f t="shared" si="0"/>
        <v>21874.958603999996</v>
      </c>
      <c r="J26" s="882">
        <v>7845232.4222105686</v>
      </c>
      <c r="K26" s="894"/>
    </row>
    <row r="27" spans="2:22" ht="7.5" customHeight="1">
      <c r="B27" s="738"/>
    </row>
    <row r="28" spans="2:22" ht="10.5" customHeight="1"/>
    <row r="29" spans="2:22" ht="21">
      <c r="B29" s="845" t="s">
        <v>858</v>
      </c>
      <c r="C29" s="739"/>
      <c r="F29" s="739"/>
      <c r="G29" s="739"/>
      <c r="I29" s="839" t="s">
        <v>822</v>
      </c>
    </row>
    <row r="30" spans="2:22" ht="18.75" customHeight="1">
      <c r="B30" s="1213" t="s">
        <v>676</v>
      </c>
      <c r="C30" s="1213"/>
      <c r="D30" s="1213"/>
      <c r="E30" s="1213"/>
      <c r="F30" s="1213"/>
      <c r="G30" s="1213"/>
      <c r="I30" s="12" t="s">
        <v>684</v>
      </c>
      <c r="N30" s="12" t="s">
        <v>685</v>
      </c>
    </row>
    <row r="31" spans="2:22" ht="45">
      <c r="B31" s="735" t="s">
        <v>62</v>
      </c>
      <c r="C31" s="735" t="s">
        <v>677</v>
      </c>
      <c r="D31" s="735" t="s">
        <v>678</v>
      </c>
      <c r="E31" s="856" t="s">
        <v>831</v>
      </c>
      <c r="F31" s="735" t="s">
        <v>680</v>
      </c>
      <c r="G31" s="735" t="s">
        <v>679</v>
      </c>
      <c r="I31" s="735" t="s">
        <v>681</v>
      </c>
      <c r="J31" s="735" t="s">
        <v>682</v>
      </c>
      <c r="K31" s="735" t="s">
        <v>683</v>
      </c>
      <c r="L31" s="735" t="s">
        <v>677</v>
      </c>
      <c r="N31" s="735" t="s">
        <v>681</v>
      </c>
      <c r="O31" s="735" t="s">
        <v>682</v>
      </c>
      <c r="P31" s="735" t="s">
        <v>683</v>
      </c>
      <c r="Q31" s="735" t="s">
        <v>677</v>
      </c>
      <c r="S31" s="1215"/>
      <c r="T31" s="1215"/>
      <c r="U31" s="1215"/>
      <c r="V31" s="1215"/>
    </row>
    <row r="32" spans="2:22" ht="33">
      <c r="B32" s="742"/>
      <c r="C32" s="742" t="s">
        <v>687</v>
      </c>
      <c r="D32" s="742" t="s">
        <v>688</v>
      </c>
      <c r="E32" s="943" t="s">
        <v>689</v>
      </c>
      <c r="F32" s="943" t="s">
        <v>690</v>
      </c>
      <c r="G32" s="943" t="s">
        <v>872</v>
      </c>
      <c r="I32" s="742"/>
      <c r="J32" s="943" t="s">
        <v>873</v>
      </c>
      <c r="K32" s="943" t="s">
        <v>874</v>
      </c>
      <c r="L32" s="943" t="s">
        <v>877</v>
      </c>
      <c r="N32" s="943"/>
      <c r="O32" s="943" t="s">
        <v>875</v>
      </c>
      <c r="P32" s="943" t="s">
        <v>876</v>
      </c>
      <c r="Q32" s="943" t="s">
        <v>878</v>
      </c>
    </row>
    <row r="33" spans="2:18" ht="15.75" customHeight="1">
      <c r="B33" s="737">
        <v>42736</v>
      </c>
      <c r="C33" s="745"/>
      <c r="D33" s="743"/>
      <c r="E33" s="743"/>
      <c r="F33" s="736"/>
      <c r="G33" s="736"/>
      <c r="I33" s="736" t="s">
        <v>823</v>
      </c>
      <c r="J33" s="736">
        <v>91</v>
      </c>
      <c r="K33" s="939">
        <f>5341+5</f>
        <v>5346</v>
      </c>
      <c r="L33" s="840">
        <f>K33*J33/1000</f>
        <v>486.48599999999999</v>
      </c>
      <c r="N33" s="736" t="s">
        <v>824</v>
      </c>
      <c r="O33" s="840">
        <v>35.1</v>
      </c>
      <c r="P33" s="939">
        <f>10669+45</f>
        <v>10714</v>
      </c>
      <c r="Q33" s="855">
        <f>P33*O33/1000</f>
        <v>376.06140000000005</v>
      </c>
    </row>
    <row r="34" spans="2:18" ht="15.75" customHeight="1">
      <c r="B34" s="737">
        <v>42767</v>
      </c>
      <c r="C34" s="746"/>
      <c r="D34" s="747"/>
      <c r="E34" s="747"/>
      <c r="F34" s="736"/>
      <c r="G34" s="744"/>
      <c r="I34" s="736" t="s">
        <v>823</v>
      </c>
      <c r="J34" s="736">
        <v>130</v>
      </c>
      <c r="K34" s="939">
        <f>7228+21</f>
        <v>7249</v>
      </c>
      <c r="L34" s="840">
        <f t="shared" ref="L34:L42" si="3">K34*J34/1000</f>
        <v>942.37</v>
      </c>
      <c r="N34" s="736" t="s">
        <v>824</v>
      </c>
      <c r="O34" s="840">
        <v>38.5</v>
      </c>
      <c r="P34" s="939">
        <f>4184+19</f>
        <v>4203</v>
      </c>
      <c r="Q34" s="857">
        <f t="shared" ref="Q34:Q38" si="4">P34*O34/1000</f>
        <v>161.81549999999999</v>
      </c>
    </row>
    <row r="35" spans="2:18" ht="15.75" customHeight="1">
      <c r="B35" s="737">
        <v>42795</v>
      </c>
      <c r="C35" s="736"/>
      <c r="D35" s="736"/>
      <c r="E35" s="736"/>
      <c r="F35" s="736"/>
      <c r="G35" s="736"/>
      <c r="I35" s="736" t="s">
        <v>823</v>
      </c>
      <c r="J35" s="736">
        <v>135</v>
      </c>
      <c r="K35" s="939">
        <f>2+6</f>
        <v>8</v>
      </c>
      <c r="L35" s="840">
        <f t="shared" si="3"/>
        <v>1.08</v>
      </c>
      <c r="N35" s="736" t="s">
        <v>824</v>
      </c>
      <c r="O35" s="840">
        <v>53.4</v>
      </c>
      <c r="P35" s="939">
        <v>14</v>
      </c>
      <c r="Q35" s="857">
        <f t="shared" si="4"/>
        <v>0.74760000000000004</v>
      </c>
    </row>
    <row r="36" spans="2:18" ht="15.75" customHeight="1">
      <c r="B36" s="737">
        <v>42826</v>
      </c>
      <c r="C36" s="736"/>
      <c r="D36" s="736"/>
      <c r="E36" s="736"/>
      <c r="F36" s="736"/>
      <c r="G36" s="736"/>
      <c r="I36" s="736" t="s">
        <v>823</v>
      </c>
      <c r="J36" s="736">
        <v>155</v>
      </c>
      <c r="K36" s="939">
        <v>4</v>
      </c>
      <c r="L36" s="840">
        <f t="shared" si="3"/>
        <v>0.62</v>
      </c>
      <c r="N36" s="736" t="s">
        <v>824</v>
      </c>
      <c r="O36" s="840">
        <v>68.09</v>
      </c>
      <c r="P36" s="939">
        <v>9</v>
      </c>
      <c r="Q36" s="857">
        <f t="shared" si="4"/>
        <v>0.61281000000000008</v>
      </c>
    </row>
    <row r="37" spans="2:18" ht="15.75" customHeight="1">
      <c r="B37" s="737">
        <v>42856</v>
      </c>
      <c r="C37" s="736"/>
      <c r="D37" s="736"/>
      <c r="E37" s="736"/>
      <c r="F37" s="736"/>
      <c r="G37" s="736"/>
      <c r="I37" s="736" t="s">
        <v>823</v>
      </c>
      <c r="J37" s="736">
        <v>195</v>
      </c>
      <c r="K37" s="939">
        <v>1</v>
      </c>
      <c r="L37" s="840">
        <f t="shared" si="3"/>
        <v>0.19500000000000001</v>
      </c>
      <c r="N37" s="736" t="s">
        <v>824</v>
      </c>
      <c r="O37" s="840">
        <v>78</v>
      </c>
      <c r="P37" s="939">
        <v>3</v>
      </c>
      <c r="Q37" s="857">
        <f t="shared" si="4"/>
        <v>0.23400000000000001</v>
      </c>
    </row>
    <row r="38" spans="2:18" ht="15.75" customHeight="1">
      <c r="B38" s="737">
        <v>42887</v>
      </c>
      <c r="C38" s="736"/>
      <c r="D38" s="736"/>
      <c r="E38" s="736"/>
      <c r="F38" s="736"/>
      <c r="G38" s="736"/>
      <c r="I38" s="736" t="s">
        <v>823</v>
      </c>
      <c r="J38" s="736">
        <v>196</v>
      </c>
      <c r="K38" s="939">
        <f>1267+16</f>
        <v>1283</v>
      </c>
      <c r="L38" s="840">
        <f t="shared" si="3"/>
        <v>251.46799999999999</v>
      </c>
      <c r="N38" s="736" t="s">
        <v>824</v>
      </c>
      <c r="O38" s="840">
        <v>120</v>
      </c>
      <c r="P38" s="939">
        <v>9</v>
      </c>
      <c r="Q38" s="857">
        <f t="shared" si="4"/>
        <v>1.08</v>
      </c>
    </row>
    <row r="39" spans="2:18" ht="15.75" customHeight="1">
      <c r="B39" s="737">
        <v>42917</v>
      </c>
      <c r="C39" s="936">
        <f>+L48</f>
        <v>1944.434</v>
      </c>
      <c r="D39" s="736"/>
      <c r="E39" s="736"/>
      <c r="F39" s="736"/>
      <c r="G39" s="736"/>
      <c r="I39" s="736" t="s">
        <v>823</v>
      </c>
      <c r="J39" s="736">
        <v>215</v>
      </c>
      <c r="K39" s="939">
        <v>1</v>
      </c>
      <c r="L39" s="840">
        <f t="shared" si="3"/>
        <v>0.215</v>
      </c>
      <c r="N39" s="736"/>
      <c r="O39" s="840"/>
      <c r="P39" s="939"/>
      <c r="Q39" s="857"/>
    </row>
    <row r="40" spans="2:18" ht="15.75" customHeight="1">
      <c r="B40" s="737">
        <v>42948</v>
      </c>
      <c r="C40" s="841">
        <f>+C39-D40</f>
        <v>1670.452</v>
      </c>
      <c r="D40" s="840">
        <v>273.98200000000003</v>
      </c>
      <c r="E40" s="841">
        <f>+D40</f>
        <v>273.98200000000003</v>
      </c>
      <c r="F40" s="840">
        <v>0.9</v>
      </c>
      <c r="G40" s="841">
        <f>+E40*F40</f>
        <v>246.58380000000002</v>
      </c>
      <c r="I40" s="736" t="s">
        <v>823</v>
      </c>
      <c r="J40" s="736">
        <v>225</v>
      </c>
      <c r="K40" s="939">
        <f>6+8</f>
        <v>14</v>
      </c>
      <c r="L40" s="840">
        <f t="shared" si="3"/>
        <v>3.15</v>
      </c>
      <c r="N40" s="736"/>
      <c r="O40" s="840"/>
      <c r="P40" s="939"/>
      <c r="Q40" s="857"/>
    </row>
    <row r="41" spans="2:18" ht="15.75" customHeight="1">
      <c r="B41" s="737">
        <v>42979</v>
      </c>
      <c r="C41" s="841">
        <f t="shared" ref="C41:C44" si="5">+C40-D41</f>
        <v>1273.356</v>
      </c>
      <c r="D41" s="938">
        <v>397.096</v>
      </c>
      <c r="E41" s="840">
        <f>+E40+D41</f>
        <v>671.07799999999997</v>
      </c>
      <c r="F41" s="840">
        <v>0.9</v>
      </c>
      <c r="G41" s="841">
        <f t="shared" ref="G41:G44" si="6">+E41*F41</f>
        <v>603.97019999999998</v>
      </c>
      <c r="I41" s="736" t="s">
        <v>823</v>
      </c>
      <c r="J41" s="736">
        <v>246</v>
      </c>
      <c r="K41" s="939">
        <f>1013+7</f>
        <v>1020</v>
      </c>
      <c r="L41" s="840">
        <f t="shared" si="3"/>
        <v>250.92</v>
      </c>
      <c r="N41" s="736"/>
      <c r="O41" s="840"/>
      <c r="P41" s="939"/>
      <c r="Q41" s="857"/>
    </row>
    <row r="42" spans="2:18" ht="15.75" customHeight="1">
      <c r="B42" s="737">
        <v>43009</v>
      </c>
      <c r="C42" s="841">
        <f t="shared" si="5"/>
        <v>854.65499999999997</v>
      </c>
      <c r="D42" s="840">
        <v>418.70100000000002</v>
      </c>
      <c r="E42" s="840">
        <f t="shared" ref="E42:E44" si="7">+E41+D42</f>
        <v>1089.779</v>
      </c>
      <c r="F42" s="840">
        <f>F41</f>
        <v>0.9</v>
      </c>
      <c r="G42" s="841">
        <f t="shared" si="6"/>
        <v>980.80110000000002</v>
      </c>
      <c r="I42" s="736" t="s">
        <v>823</v>
      </c>
      <c r="J42" s="736">
        <v>305</v>
      </c>
      <c r="K42" s="939">
        <v>26</v>
      </c>
      <c r="L42" s="840">
        <f t="shared" si="3"/>
        <v>7.93</v>
      </c>
      <c r="N42" s="736"/>
      <c r="O42" s="840"/>
      <c r="P42" s="939"/>
      <c r="Q42" s="857"/>
    </row>
    <row r="43" spans="2:18" ht="15.75" customHeight="1">
      <c r="B43" s="737">
        <v>43040</v>
      </c>
      <c r="C43" s="841">
        <f t="shared" si="5"/>
        <v>549.08899999999994</v>
      </c>
      <c r="D43" s="840">
        <v>305.56599999999997</v>
      </c>
      <c r="E43" s="840">
        <f t="shared" si="7"/>
        <v>1395.345</v>
      </c>
      <c r="F43" s="840">
        <f t="shared" ref="F43:F44" si="8">F42</f>
        <v>0.9</v>
      </c>
      <c r="G43" s="841">
        <f t="shared" si="6"/>
        <v>1255.8105</v>
      </c>
      <c r="I43" s="736"/>
      <c r="J43" s="736"/>
      <c r="K43" s="939"/>
      <c r="L43" s="840"/>
      <c r="N43" s="736"/>
      <c r="O43" s="736"/>
      <c r="P43" s="736"/>
      <c r="Q43" s="855"/>
    </row>
    <row r="44" spans="2:18" ht="15.75" customHeight="1">
      <c r="B44" s="737">
        <v>43070</v>
      </c>
      <c r="C44" s="935">
        <f t="shared" si="5"/>
        <v>540.54899999999998</v>
      </c>
      <c r="D44" s="840">
        <v>8.5399999999999991</v>
      </c>
      <c r="E44" s="840">
        <f t="shared" si="7"/>
        <v>1403.885</v>
      </c>
      <c r="F44" s="840">
        <f t="shared" si="8"/>
        <v>0.9</v>
      </c>
      <c r="G44" s="841">
        <f t="shared" si="6"/>
        <v>1263.4965</v>
      </c>
      <c r="I44" s="736"/>
      <c r="J44" s="736"/>
      <c r="K44" s="939"/>
      <c r="L44" s="840"/>
      <c r="N44" s="736"/>
      <c r="O44" s="736"/>
      <c r="P44" s="736"/>
      <c r="Q44" s="736"/>
    </row>
    <row r="45" spans="2:18" ht="16.350000000000001" customHeight="1">
      <c r="B45" s="748" t="s">
        <v>26</v>
      </c>
      <c r="C45" s="749"/>
      <c r="D45" s="749"/>
      <c r="E45" s="749"/>
      <c r="F45" s="749"/>
      <c r="G45" s="842">
        <f>SUM(G40:G44)</f>
        <v>4350.6621000000005</v>
      </c>
      <c r="I45" s="736"/>
      <c r="J45" s="736"/>
      <c r="K45" s="939"/>
      <c r="L45" s="840"/>
      <c r="N45" s="736"/>
      <c r="O45" s="736"/>
      <c r="P45" s="736"/>
      <c r="Q45" s="736"/>
    </row>
    <row r="46" spans="2:18">
      <c r="B46" s="737" t="s">
        <v>825</v>
      </c>
      <c r="C46" s="736"/>
      <c r="D46" s="736"/>
      <c r="E46" s="736"/>
      <c r="F46" s="736"/>
      <c r="G46" s="841">
        <f>+E44*0.9*12</f>
        <v>15161.957999999999</v>
      </c>
      <c r="I46" s="736"/>
      <c r="J46" s="736"/>
      <c r="K46" s="939"/>
      <c r="L46" s="840"/>
      <c r="N46" s="736"/>
      <c r="O46" s="736"/>
      <c r="P46" s="736"/>
      <c r="Q46" s="736"/>
    </row>
    <row r="47" spans="2:18">
      <c r="B47" s="737" t="s">
        <v>826</v>
      </c>
      <c r="C47" s="736"/>
      <c r="D47" s="736"/>
      <c r="E47" s="736"/>
      <c r="F47" s="736"/>
      <c r="G47" s="841">
        <v>15161.957999999999</v>
      </c>
      <c r="I47" s="736"/>
      <c r="J47" s="736"/>
      <c r="K47" s="736"/>
      <c r="L47" s="736"/>
      <c r="N47" s="736"/>
      <c r="O47" s="736"/>
      <c r="P47" s="736"/>
      <c r="Q47" s="736"/>
    </row>
    <row r="48" spans="2:18">
      <c r="B48" s="737" t="s">
        <v>827</v>
      </c>
      <c r="C48" s="736"/>
      <c r="D48" s="736"/>
      <c r="E48" s="736"/>
      <c r="F48" s="736"/>
      <c r="G48" s="841">
        <v>15161.957999999999</v>
      </c>
      <c r="I48" s="748" t="s">
        <v>26</v>
      </c>
      <c r="J48" s="749"/>
      <c r="K48" s="749"/>
      <c r="L48" s="936">
        <f>SUM(L33:L47)</f>
        <v>1944.434</v>
      </c>
      <c r="N48" s="748" t="s">
        <v>26</v>
      </c>
      <c r="O48" s="749"/>
      <c r="P48" s="749"/>
      <c r="Q48" s="935">
        <f>SUM(Q33:Q39)</f>
        <v>540.55131000000006</v>
      </c>
      <c r="R48" s="894"/>
    </row>
    <row r="49" spans="2:17" ht="5.0999999999999996" customHeight="1"/>
    <row r="51" spans="2:17" ht="24" customHeight="1">
      <c r="B51" s="738" t="s">
        <v>828</v>
      </c>
    </row>
    <row r="52" spans="2:17" ht="3.95" customHeight="1"/>
    <row r="53" spans="2:17" ht="21">
      <c r="B53" s="845" t="s">
        <v>859</v>
      </c>
      <c r="C53" s="739"/>
      <c r="F53" s="739"/>
      <c r="G53" s="739"/>
      <c r="I53" s="839" t="s">
        <v>829</v>
      </c>
    </row>
    <row r="54" spans="2:17">
      <c r="B54" s="1213" t="s">
        <v>676</v>
      </c>
      <c r="C54" s="1213"/>
      <c r="D54" s="1213"/>
      <c r="E54" s="1213"/>
      <c r="F54" s="1213"/>
      <c r="G54" s="1213"/>
      <c r="I54" s="12" t="s">
        <v>684</v>
      </c>
      <c r="N54" s="12" t="s">
        <v>685</v>
      </c>
    </row>
    <row r="55" spans="2:17" ht="45">
      <c r="B55" s="810" t="s">
        <v>62</v>
      </c>
      <c r="C55" s="810" t="s">
        <v>677</v>
      </c>
      <c r="D55" s="810" t="s">
        <v>678</v>
      </c>
      <c r="E55" s="856" t="s">
        <v>831</v>
      </c>
      <c r="F55" s="810" t="s">
        <v>680</v>
      </c>
      <c r="G55" s="810" t="s">
        <v>679</v>
      </c>
      <c r="I55" s="810" t="s">
        <v>681</v>
      </c>
      <c r="J55" s="810" t="s">
        <v>682</v>
      </c>
      <c r="K55" s="810" t="s">
        <v>683</v>
      </c>
      <c r="L55" s="810" t="s">
        <v>677</v>
      </c>
      <c r="N55" s="810" t="s">
        <v>681</v>
      </c>
      <c r="O55" s="810" t="s">
        <v>682</v>
      </c>
      <c r="P55" s="810" t="s">
        <v>683</v>
      </c>
      <c r="Q55" s="810" t="s">
        <v>677</v>
      </c>
    </row>
    <row r="56" spans="2:17" ht="33">
      <c r="B56" s="810"/>
      <c r="C56" s="943" t="s">
        <v>687</v>
      </c>
      <c r="D56" s="943" t="s">
        <v>688</v>
      </c>
      <c r="E56" s="943" t="s">
        <v>689</v>
      </c>
      <c r="F56" s="943" t="s">
        <v>690</v>
      </c>
      <c r="G56" s="943" t="s">
        <v>872</v>
      </c>
      <c r="I56" s="810"/>
      <c r="J56" s="943" t="s">
        <v>873</v>
      </c>
      <c r="K56" s="943" t="s">
        <v>874</v>
      </c>
      <c r="L56" s="943" t="s">
        <v>877</v>
      </c>
      <c r="N56" s="810"/>
      <c r="O56" s="810" t="s">
        <v>875</v>
      </c>
      <c r="P56" s="810" t="s">
        <v>876</v>
      </c>
      <c r="Q56" s="943" t="s">
        <v>878</v>
      </c>
    </row>
    <row r="57" spans="2:17">
      <c r="B57" s="737">
        <v>42736</v>
      </c>
      <c r="C57" s="745"/>
      <c r="D57" s="743"/>
      <c r="E57" s="743"/>
      <c r="F57" s="736"/>
      <c r="G57" s="736"/>
      <c r="I57" s="736" t="s">
        <v>823</v>
      </c>
      <c r="J57" s="736">
        <v>91</v>
      </c>
      <c r="K57" s="736">
        <v>829</v>
      </c>
      <c r="L57" s="736">
        <v>75.438999999999993</v>
      </c>
      <c r="N57" s="736" t="s">
        <v>833</v>
      </c>
      <c r="O57" s="736">
        <v>29.4</v>
      </c>
      <c r="P57" s="736">
        <v>1411</v>
      </c>
      <c r="Q57" s="840">
        <v>41.483400000000003</v>
      </c>
    </row>
    <row r="58" spans="2:17">
      <c r="B58" s="737">
        <v>42767</v>
      </c>
      <c r="C58" s="746"/>
      <c r="D58" s="747"/>
      <c r="E58" s="747"/>
      <c r="F58" s="736"/>
      <c r="G58" s="744"/>
      <c r="I58" s="736" t="s">
        <v>823</v>
      </c>
      <c r="J58" s="736">
        <v>130</v>
      </c>
      <c r="K58" s="736">
        <v>536</v>
      </c>
      <c r="L58" s="736">
        <v>69.680000000000007</v>
      </c>
      <c r="N58" s="736" t="s">
        <v>833</v>
      </c>
      <c r="O58" s="736">
        <v>38.5</v>
      </c>
      <c r="P58" s="736">
        <v>53</v>
      </c>
      <c r="Q58" s="840">
        <v>2.0405000000000002</v>
      </c>
    </row>
    <row r="59" spans="2:17">
      <c r="B59" s="737">
        <v>42795</v>
      </c>
      <c r="C59" s="736"/>
      <c r="D59" s="736"/>
      <c r="E59" s="736"/>
      <c r="F59" s="736"/>
      <c r="G59" s="736"/>
      <c r="I59" s="736" t="s">
        <v>823</v>
      </c>
      <c r="J59" s="736">
        <v>196</v>
      </c>
      <c r="K59" s="736">
        <v>94</v>
      </c>
      <c r="L59" s="736">
        <v>18.423999999999999</v>
      </c>
      <c r="N59" s="736" t="s">
        <v>833</v>
      </c>
      <c r="O59" s="736">
        <v>68.09</v>
      </c>
      <c r="P59" s="736">
        <v>1</v>
      </c>
      <c r="Q59" s="840">
        <v>6.8089999999999998E-2</v>
      </c>
    </row>
    <row r="60" spans="2:17">
      <c r="B60" s="737">
        <v>42826</v>
      </c>
      <c r="C60" s="736"/>
      <c r="D60" s="736"/>
      <c r="E60" s="736"/>
      <c r="F60" s="736"/>
      <c r="G60" s="736"/>
      <c r="I60" s="736" t="s">
        <v>823</v>
      </c>
      <c r="J60" s="736">
        <v>215</v>
      </c>
      <c r="K60" s="736">
        <v>1</v>
      </c>
      <c r="L60" s="736">
        <v>0.215</v>
      </c>
      <c r="N60" s="736"/>
      <c r="O60" s="736"/>
      <c r="P60" s="736"/>
      <c r="Q60" s="840"/>
    </row>
    <row r="61" spans="2:17">
      <c r="B61" s="737">
        <v>42856</v>
      </c>
      <c r="C61" s="736"/>
      <c r="D61" s="736"/>
      <c r="E61" s="736"/>
      <c r="F61" s="736"/>
      <c r="G61" s="736"/>
      <c r="I61" s="736" t="s">
        <v>823</v>
      </c>
      <c r="J61" s="736">
        <v>246</v>
      </c>
      <c r="K61" s="736">
        <v>2</v>
      </c>
      <c r="L61" s="736">
        <v>0.49199999999999999</v>
      </c>
      <c r="N61" s="736"/>
      <c r="O61" s="736"/>
      <c r="P61" s="736"/>
      <c r="Q61" s="840"/>
    </row>
    <row r="62" spans="2:17">
      <c r="B62" s="737">
        <v>42887</v>
      </c>
      <c r="C62" s="852">
        <f>L70</f>
        <v>165.5</v>
      </c>
      <c r="D62" s="850"/>
      <c r="E62" s="850"/>
      <c r="F62" s="840"/>
      <c r="G62" s="840"/>
      <c r="I62" s="736" t="s">
        <v>823</v>
      </c>
      <c r="J62" s="736">
        <v>290</v>
      </c>
      <c r="K62" s="736">
        <v>1</v>
      </c>
      <c r="L62" s="855">
        <v>0.28999999999999998</v>
      </c>
      <c r="N62" s="736"/>
      <c r="O62" s="736"/>
      <c r="P62" s="736"/>
      <c r="Q62" s="840"/>
    </row>
    <row r="63" spans="2:17">
      <c r="B63" s="737">
        <v>42917</v>
      </c>
      <c r="C63" s="840">
        <f>C62-D63</f>
        <v>110.38460000000039</v>
      </c>
      <c r="D63" s="850">
        <v>55.11539999999961</v>
      </c>
      <c r="E63" s="850">
        <f>D63</f>
        <v>55.11539999999961</v>
      </c>
      <c r="F63" s="840">
        <v>0.9</v>
      </c>
      <c r="G63" s="840">
        <f>+E63*F63</f>
        <v>49.603859999999649</v>
      </c>
      <c r="I63" s="736" t="s">
        <v>823</v>
      </c>
      <c r="J63" s="736">
        <v>480</v>
      </c>
      <c r="K63" s="736">
        <v>2</v>
      </c>
      <c r="L63" s="855">
        <v>0.96</v>
      </c>
      <c r="N63" s="736"/>
      <c r="O63" s="736"/>
      <c r="P63" s="736"/>
      <c r="Q63" s="840"/>
    </row>
    <row r="64" spans="2:17">
      <c r="B64" s="737">
        <v>42948</v>
      </c>
      <c r="C64" s="840">
        <f t="shared" ref="C64:C68" si="9">C63-D64</f>
        <v>74.21860000000035</v>
      </c>
      <c r="D64" s="850">
        <v>36.166000000000047</v>
      </c>
      <c r="E64" s="850">
        <f>E63+D64</f>
        <v>91.28139999999965</v>
      </c>
      <c r="F64" s="840">
        <v>0.9</v>
      </c>
      <c r="G64" s="840">
        <f t="shared" ref="G64:G68" si="10">+E64*F64</f>
        <v>82.15325999999969</v>
      </c>
      <c r="I64" s="736"/>
      <c r="J64" s="736"/>
      <c r="K64" s="736"/>
      <c r="L64" s="855">
        <v>0</v>
      </c>
      <c r="N64" s="736"/>
      <c r="O64" s="736"/>
      <c r="P64" s="736"/>
      <c r="Q64" s="840"/>
    </row>
    <row r="65" spans="2:18">
      <c r="B65" s="737">
        <v>42979</v>
      </c>
      <c r="C65" s="840">
        <f t="shared" si="9"/>
        <v>51.42209000000031</v>
      </c>
      <c r="D65" s="850">
        <v>22.796510000000037</v>
      </c>
      <c r="E65" s="850">
        <f t="shared" ref="E65:E68" si="11">E64+D65</f>
        <v>114.07790999999969</v>
      </c>
      <c r="F65" s="840">
        <v>0.9</v>
      </c>
      <c r="G65" s="840">
        <f t="shared" si="10"/>
        <v>102.67011899999973</v>
      </c>
      <c r="I65" s="736"/>
      <c r="J65" s="736"/>
      <c r="K65" s="736"/>
      <c r="L65" s="855"/>
      <c r="N65" s="736"/>
      <c r="O65" s="736"/>
      <c r="P65" s="736"/>
      <c r="Q65" s="840"/>
    </row>
    <row r="66" spans="2:18">
      <c r="B66" s="737">
        <v>43009</v>
      </c>
      <c r="C66" s="840">
        <f t="shared" si="9"/>
        <v>44.14899000000031</v>
      </c>
      <c r="D66" s="850">
        <v>7.2730999999999977</v>
      </c>
      <c r="E66" s="850">
        <f t="shared" si="11"/>
        <v>121.35100999999969</v>
      </c>
      <c r="F66" s="840">
        <v>0.9</v>
      </c>
      <c r="G66" s="840">
        <f t="shared" si="10"/>
        <v>109.21590899999973</v>
      </c>
      <c r="I66" s="736"/>
      <c r="J66" s="736"/>
      <c r="K66" s="736"/>
      <c r="L66" s="855"/>
      <c r="N66" s="736"/>
      <c r="O66" s="736"/>
      <c r="P66" s="736"/>
      <c r="Q66" s="840"/>
    </row>
    <row r="67" spans="2:18">
      <c r="B67" s="737">
        <v>43040</v>
      </c>
      <c r="C67" s="840">
        <f t="shared" si="9"/>
        <v>44.14899000000031</v>
      </c>
      <c r="D67" s="850">
        <v>0</v>
      </c>
      <c r="E67" s="850">
        <f t="shared" si="11"/>
        <v>121.35100999999969</v>
      </c>
      <c r="F67" s="840">
        <v>0.9</v>
      </c>
      <c r="G67" s="840">
        <f t="shared" si="10"/>
        <v>109.21590899999973</v>
      </c>
      <c r="I67" s="736"/>
      <c r="J67" s="736"/>
      <c r="K67" s="736"/>
      <c r="L67" s="855"/>
      <c r="N67" s="736"/>
      <c r="O67" s="736"/>
      <c r="P67" s="736"/>
      <c r="Q67" s="840"/>
    </row>
    <row r="68" spans="2:18">
      <c r="B68" s="737">
        <v>43070</v>
      </c>
      <c r="C68" s="854">
        <f t="shared" si="9"/>
        <v>43.591990000000308</v>
      </c>
      <c r="D68" s="850">
        <v>0.55700000000000005</v>
      </c>
      <c r="E68" s="850">
        <f t="shared" si="11"/>
        <v>121.90800999999969</v>
      </c>
      <c r="F68" s="840">
        <v>0.9</v>
      </c>
      <c r="G68" s="840">
        <f t="shared" si="10"/>
        <v>109.71720899999973</v>
      </c>
      <c r="I68" s="736"/>
      <c r="J68" s="736"/>
      <c r="K68" s="736"/>
      <c r="L68" s="855"/>
      <c r="N68" s="736"/>
      <c r="O68" s="736"/>
      <c r="P68" s="736"/>
      <c r="Q68" s="840"/>
    </row>
    <row r="69" spans="2:18">
      <c r="B69" s="748" t="s">
        <v>26</v>
      </c>
      <c r="C69" s="749"/>
      <c r="D69" s="749"/>
      <c r="E69" s="749"/>
      <c r="F69" s="749"/>
      <c r="G69" s="842">
        <f>SUM(G58:G68)</f>
        <v>562.57626599999821</v>
      </c>
      <c r="I69" s="736"/>
      <c r="J69" s="736"/>
      <c r="K69" s="736"/>
      <c r="L69" s="736"/>
      <c r="N69" s="736"/>
      <c r="O69" s="736"/>
      <c r="P69" s="736"/>
      <c r="Q69" s="840"/>
    </row>
    <row r="70" spans="2:18">
      <c r="B70" s="737" t="s">
        <v>825</v>
      </c>
      <c r="C70" s="736"/>
      <c r="D70" s="736"/>
      <c r="E70" s="736"/>
      <c r="F70" s="736"/>
      <c r="G70" s="841">
        <f>+E68*12*0.9</f>
        <v>1316.6065079999967</v>
      </c>
      <c r="I70" s="748" t="s">
        <v>26</v>
      </c>
      <c r="J70" s="749"/>
      <c r="K70" s="749"/>
      <c r="L70" s="936">
        <f>SUM(L57:L69)</f>
        <v>165.5</v>
      </c>
      <c r="N70" s="748" t="s">
        <v>26</v>
      </c>
      <c r="O70" s="746"/>
      <c r="P70" s="749"/>
      <c r="Q70" s="937">
        <f>SUM(Q57:Q69)</f>
        <v>43.591990000000003</v>
      </c>
      <c r="R70" s="894"/>
    </row>
    <row r="71" spans="2:18">
      <c r="B71" s="737" t="s">
        <v>826</v>
      </c>
      <c r="C71" s="736"/>
      <c r="D71" s="736"/>
      <c r="E71" s="736"/>
      <c r="F71" s="736"/>
      <c r="G71" s="841">
        <f>+G70</f>
        <v>1316.6065079999967</v>
      </c>
    </row>
    <row r="72" spans="2:18">
      <c r="B72" s="737" t="s">
        <v>827</v>
      </c>
      <c r="C72" s="736"/>
      <c r="D72" s="736"/>
      <c r="E72" s="736"/>
      <c r="F72" s="736"/>
      <c r="G72" s="841">
        <f>+G71</f>
        <v>1316.6065079999967</v>
      </c>
    </row>
    <row r="75" spans="2:18" ht="21">
      <c r="B75" s="738" t="s">
        <v>828</v>
      </c>
    </row>
    <row r="76" spans="2:18" ht="21">
      <c r="B76" s="845" t="s">
        <v>860</v>
      </c>
    </row>
    <row r="77" spans="2:18" ht="24" customHeight="1">
      <c r="C77" s="739"/>
      <c r="F77" s="739"/>
      <c r="G77" s="739"/>
      <c r="I77" s="839" t="s">
        <v>830</v>
      </c>
    </row>
    <row r="78" spans="2:18" ht="14.45" customHeight="1">
      <c r="B78" s="1213" t="s">
        <v>676</v>
      </c>
      <c r="C78" s="1213"/>
      <c r="D78" s="1213"/>
      <c r="E78" s="1213"/>
      <c r="F78" s="1213"/>
      <c r="G78" s="1213"/>
      <c r="H78" s="846"/>
      <c r="I78" s="12" t="s">
        <v>684</v>
      </c>
      <c r="N78" s="12" t="s">
        <v>685</v>
      </c>
    </row>
    <row r="79" spans="2:18" ht="45">
      <c r="B79" s="844" t="s">
        <v>62</v>
      </c>
      <c r="C79" s="844" t="s">
        <v>677</v>
      </c>
      <c r="D79" s="844" t="s">
        <v>678</v>
      </c>
      <c r="E79" s="844" t="s">
        <v>831</v>
      </c>
      <c r="F79" s="844" t="s">
        <v>680</v>
      </c>
      <c r="G79" s="844" t="s">
        <v>679</v>
      </c>
      <c r="H79" s="846"/>
      <c r="I79" s="844" t="s">
        <v>681</v>
      </c>
      <c r="J79" s="844" t="s">
        <v>832</v>
      </c>
      <c r="K79" s="844" t="s">
        <v>683</v>
      </c>
      <c r="L79" s="844" t="s">
        <v>677</v>
      </c>
      <c r="N79" s="844" t="s">
        <v>681</v>
      </c>
      <c r="O79" s="844" t="s">
        <v>832</v>
      </c>
      <c r="P79" s="844" t="s">
        <v>683</v>
      </c>
      <c r="Q79" s="844" t="s">
        <v>677</v>
      </c>
    </row>
    <row r="80" spans="2:18" ht="33">
      <c r="B80" s="844"/>
      <c r="C80" s="943" t="s">
        <v>687</v>
      </c>
      <c r="D80" s="943" t="s">
        <v>688</v>
      </c>
      <c r="E80" s="943" t="s">
        <v>689</v>
      </c>
      <c r="F80" s="943" t="s">
        <v>690</v>
      </c>
      <c r="G80" s="943" t="s">
        <v>872</v>
      </c>
      <c r="H80" s="846"/>
      <c r="I80" s="844"/>
      <c r="J80" s="943" t="s">
        <v>873</v>
      </c>
      <c r="K80" s="943" t="s">
        <v>874</v>
      </c>
      <c r="L80" s="943" t="s">
        <v>877</v>
      </c>
      <c r="N80" s="943"/>
      <c r="O80" s="943" t="s">
        <v>875</v>
      </c>
      <c r="P80" s="943" t="s">
        <v>876</v>
      </c>
      <c r="Q80" s="943" t="s">
        <v>878</v>
      </c>
    </row>
    <row r="81" spans="2:19">
      <c r="B81" s="737">
        <v>42736</v>
      </c>
      <c r="C81" s="847"/>
      <c r="D81" s="848"/>
      <c r="E81" s="848"/>
      <c r="F81" s="840"/>
      <c r="G81" s="840"/>
      <c r="H81" s="846"/>
      <c r="I81" s="736" t="s">
        <v>823</v>
      </c>
      <c r="J81" s="736">
        <v>130</v>
      </c>
      <c r="K81" s="736">
        <v>205</v>
      </c>
      <c r="L81" s="736">
        <v>26.65</v>
      </c>
      <c r="N81" s="736" t="s">
        <v>824</v>
      </c>
      <c r="O81" s="736">
        <v>68.09</v>
      </c>
      <c r="P81" s="736">
        <v>232</v>
      </c>
      <c r="Q81" s="840">
        <v>15.796880000000002</v>
      </c>
    </row>
    <row r="82" spans="2:19">
      <c r="B82" s="737">
        <v>42767</v>
      </c>
      <c r="C82" s="849"/>
      <c r="D82" s="850"/>
      <c r="E82" s="850"/>
      <c r="F82" s="840"/>
      <c r="G82" s="851"/>
      <c r="H82" s="846"/>
      <c r="I82" s="736" t="s">
        <v>823</v>
      </c>
      <c r="J82" s="736">
        <v>196</v>
      </c>
      <c r="K82" s="736">
        <v>1861</v>
      </c>
      <c r="L82" s="736">
        <v>364.75599999999997</v>
      </c>
      <c r="N82" s="736" t="s">
        <v>824</v>
      </c>
      <c r="O82" s="736">
        <v>78</v>
      </c>
      <c r="P82" s="736">
        <v>3234</v>
      </c>
      <c r="Q82" s="840">
        <v>252.25200000000001</v>
      </c>
    </row>
    <row r="83" spans="2:19">
      <c r="B83" s="737">
        <v>42795</v>
      </c>
      <c r="C83" s="840"/>
      <c r="D83" s="850"/>
      <c r="E83" s="850"/>
      <c r="F83" s="840"/>
      <c r="G83" s="840"/>
      <c r="H83" s="846"/>
      <c r="I83" s="736" t="s">
        <v>823</v>
      </c>
      <c r="J83" s="736">
        <v>225</v>
      </c>
      <c r="K83" s="736">
        <v>2</v>
      </c>
      <c r="L83" s="736">
        <v>0.45</v>
      </c>
      <c r="N83" s="736" t="s">
        <v>824</v>
      </c>
      <c r="O83" s="736">
        <v>120</v>
      </c>
      <c r="P83" s="736">
        <v>114</v>
      </c>
      <c r="Q83" s="840">
        <v>13.68</v>
      </c>
    </row>
    <row r="84" spans="2:19">
      <c r="B84" s="737">
        <v>42826</v>
      </c>
      <c r="C84" s="840"/>
      <c r="D84" s="850"/>
      <c r="E84" s="850"/>
      <c r="F84" s="840"/>
      <c r="G84" s="840"/>
      <c r="H84" s="846"/>
      <c r="I84" s="736" t="s">
        <v>823</v>
      </c>
      <c r="J84" s="736">
        <v>246</v>
      </c>
      <c r="K84" s="736">
        <v>1214</v>
      </c>
      <c r="L84" s="736">
        <v>298.64400000000001</v>
      </c>
      <c r="N84" s="736"/>
      <c r="O84" s="736"/>
      <c r="P84" s="736"/>
      <c r="Q84" s="840"/>
    </row>
    <row r="85" spans="2:19">
      <c r="B85" s="737">
        <v>42856</v>
      </c>
      <c r="C85" s="840"/>
      <c r="D85" s="850"/>
      <c r="E85" s="850"/>
      <c r="F85" s="840"/>
      <c r="G85" s="840"/>
      <c r="H85" s="846"/>
      <c r="I85" s="736" t="s">
        <v>823</v>
      </c>
      <c r="J85" s="736">
        <v>305</v>
      </c>
      <c r="K85" s="736">
        <v>298</v>
      </c>
      <c r="L85" s="736">
        <v>90.89</v>
      </c>
      <c r="N85" s="736"/>
      <c r="O85" s="736"/>
      <c r="P85" s="736"/>
      <c r="Q85" s="840"/>
    </row>
    <row r="86" spans="2:19">
      <c r="B86" s="737">
        <v>42887</v>
      </c>
      <c r="C86" s="936">
        <f>+L92</f>
        <v>781.39</v>
      </c>
      <c r="D86" s="850"/>
      <c r="E86" s="850"/>
      <c r="F86" s="840"/>
      <c r="G86" s="840"/>
      <c r="H86" s="846"/>
      <c r="I86" s="736"/>
      <c r="J86" s="736"/>
      <c r="K86" s="939"/>
      <c r="L86" s="855"/>
      <c r="N86" s="736"/>
      <c r="O86" s="840"/>
      <c r="P86" s="939"/>
      <c r="Q86" s="855"/>
    </row>
    <row r="87" spans="2:19">
      <c r="B87" s="737">
        <v>42917</v>
      </c>
      <c r="C87" s="840">
        <f>+C86-D87</f>
        <v>755.22686999999996</v>
      </c>
      <c r="D87" s="850">
        <v>26.163129999999981</v>
      </c>
      <c r="E87" s="850">
        <f>+D87</f>
        <v>26.163129999999981</v>
      </c>
      <c r="F87" s="840">
        <v>0.9</v>
      </c>
      <c r="G87" s="840">
        <f>+E87*F87</f>
        <v>23.546816999999983</v>
      </c>
      <c r="H87" s="846"/>
      <c r="I87" s="736"/>
      <c r="J87" s="736"/>
      <c r="K87" s="939"/>
      <c r="L87" s="855"/>
      <c r="N87" s="736"/>
      <c r="O87" s="840"/>
      <c r="P87" s="939"/>
      <c r="Q87" s="857"/>
    </row>
    <row r="88" spans="2:19">
      <c r="B88" s="737">
        <v>42948</v>
      </c>
      <c r="C88" s="840">
        <f t="shared" ref="C88:C92" si="12">+C87-D88</f>
        <v>680.08943999999997</v>
      </c>
      <c r="D88" s="850">
        <v>75.137429999999995</v>
      </c>
      <c r="E88" s="850">
        <f>+D88+E87</f>
        <v>101.30055999999998</v>
      </c>
      <c r="F88" s="840">
        <v>0.9</v>
      </c>
      <c r="G88" s="840">
        <f t="shared" ref="G88:G92" si="13">+E88*F88</f>
        <v>91.17050399999998</v>
      </c>
      <c r="H88" s="846"/>
      <c r="I88" s="736"/>
      <c r="J88" s="736"/>
      <c r="K88" s="939"/>
      <c r="L88" s="855"/>
      <c r="N88" s="736"/>
      <c r="O88" s="840"/>
      <c r="P88" s="939"/>
      <c r="Q88" s="857"/>
    </row>
    <row r="89" spans="2:19">
      <c r="B89" s="737">
        <v>42979</v>
      </c>
      <c r="C89" s="840">
        <f t="shared" si="12"/>
        <v>596.97778999999991</v>
      </c>
      <c r="D89" s="850">
        <v>83.111649999999997</v>
      </c>
      <c r="E89" s="850">
        <f t="shared" ref="E89:E92" si="14">+D89+E88</f>
        <v>184.41220999999996</v>
      </c>
      <c r="F89" s="840">
        <v>0.9</v>
      </c>
      <c r="G89" s="840">
        <f t="shared" si="13"/>
        <v>165.97098899999997</v>
      </c>
      <c r="H89" s="846"/>
      <c r="I89" s="736"/>
      <c r="J89" s="736"/>
      <c r="K89" s="939"/>
      <c r="L89" s="855"/>
      <c r="N89" s="736"/>
      <c r="O89" s="736"/>
      <c r="P89" s="736"/>
      <c r="Q89" s="840"/>
    </row>
    <row r="90" spans="2:19">
      <c r="B90" s="737">
        <v>43009</v>
      </c>
      <c r="C90" s="840">
        <f t="shared" si="12"/>
        <v>462.72478999999993</v>
      </c>
      <c r="D90" s="850">
        <v>134.25299999999999</v>
      </c>
      <c r="E90" s="850">
        <f t="shared" si="14"/>
        <v>318.66520999999995</v>
      </c>
      <c r="F90" s="840">
        <v>0.9</v>
      </c>
      <c r="G90" s="840">
        <f t="shared" si="13"/>
        <v>286.79868899999997</v>
      </c>
      <c r="H90" s="846"/>
      <c r="I90" s="736"/>
      <c r="J90" s="736"/>
      <c r="K90" s="939"/>
      <c r="L90" s="855"/>
      <c r="N90" s="736"/>
      <c r="O90" s="736"/>
      <c r="P90" s="736"/>
      <c r="Q90" s="840"/>
    </row>
    <row r="91" spans="2:19">
      <c r="B91" s="737">
        <v>43040</v>
      </c>
      <c r="C91" s="840">
        <f t="shared" si="12"/>
        <v>285.85387999999989</v>
      </c>
      <c r="D91" s="850">
        <v>176.87091000000001</v>
      </c>
      <c r="E91" s="850">
        <f t="shared" si="14"/>
        <v>495.53611999999998</v>
      </c>
      <c r="F91" s="840">
        <v>0.9</v>
      </c>
      <c r="G91" s="840">
        <f t="shared" si="13"/>
        <v>445.982508</v>
      </c>
      <c r="H91" s="846"/>
      <c r="I91" s="736"/>
      <c r="J91" s="736"/>
      <c r="K91" s="736"/>
      <c r="L91" s="736"/>
      <c r="N91" s="736"/>
      <c r="O91" s="736"/>
      <c r="P91" s="736"/>
      <c r="Q91" s="840"/>
    </row>
    <row r="92" spans="2:19">
      <c r="B92" s="737">
        <v>43070</v>
      </c>
      <c r="C92" s="937">
        <f t="shared" si="12"/>
        <v>281.72387999999989</v>
      </c>
      <c r="D92" s="850">
        <v>4.13</v>
      </c>
      <c r="E92" s="850">
        <f t="shared" si="14"/>
        <v>499.66611999999998</v>
      </c>
      <c r="F92" s="840">
        <v>0.9</v>
      </c>
      <c r="G92" s="840">
        <f t="shared" si="13"/>
        <v>449.69950799999998</v>
      </c>
      <c r="H92" s="846"/>
      <c r="I92" s="748" t="s">
        <v>26</v>
      </c>
      <c r="J92" s="749"/>
      <c r="K92" s="749"/>
      <c r="L92" s="936">
        <f>SUM(L81:L91)</f>
        <v>781.39</v>
      </c>
      <c r="N92" s="748" t="s">
        <v>26</v>
      </c>
      <c r="O92" s="746"/>
      <c r="P92" s="749"/>
      <c r="Q92" s="937">
        <f>SUM(Q79:Q91)</f>
        <v>281.72888</v>
      </c>
      <c r="S92" s="894"/>
    </row>
    <row r="93" spans="2:19">
      <c r="B93" s="748" t="s">
        <v>26</v>
      </c>
      <c r="C93" s="853"/>
      <c r="D93" s="853"/>
      <c r="E93" s="853"/>
      <c r="F93" s="749"/>
      <c r="G93" s="842">
        <f>SUM(G87:G92)</f>
        <v>1463.1690149999999</v>
      </c>
      <c r="H93" s="846"/>
    </row>
    <row r="94" spans="2:19">
      <c r="B94" s="737" t="s">
        <v>825</v>
      </c>
      <c r="C94" s="736"/>
      <c r="D94" s="736"/>
      <c r="E94" s="736"/>
      <c r="F94" s="736"/>
      <c r="G94" s="840">
        <f>+G92*12</f>
        <v>5396.394096</v>
      </c>
      <c r="H94" s="846"/>
    </row>
    <row r="95" spans="2:19">
      <c r="B95" s="737" t="s">
        <v>826</v>
      </c>
      <c r="C95" s="736"/>
      <c r="D95" s="736"/>
      <c r="E95" s="736"/>
      <c r="F95" s="736"/>
      <c r="G95" s="840">
        <f>+G94</f>
        <v>5396.394096</v>
      </c>
      <c r="H95" s="846"/>
    </row>
    <row r="96" spans="2:19">
      <c r="B96" s="737" t="s">
        <v>827</v>
      </c>
      <c r="C96" s="736"/>
      <c r="D96" s="736"/>
      <c r="E96" s="736"/>
      <c r="F96" s="736"/>
      <c r="G96" s="840">
        <f>+G95</f>
        <v>5396.394096</v>
      </c>
      <c r="H96" s="846"/>
    </row>
    <row r="97" spans="8:8" ht="3" customHeight="1">
      <c r="H97" s="846"/>
    </row>
    <row r="98" spans="8:8" ht="15" customHeight="1"/>
  </sheetData>
  <mergeCells count="5">
    <mergeCell ref="B30:G30"/>
    <mergeCell ref="B18:V18"/>
    <mergeCell ref="B54:G54"/>
    <mergeCell ref="B78:G78"/>
    <mergeCell ref="S31:V31"/>
  </mergeCells>
  <pageMargins left="0.24" right="0.14000000000000001" top="0.38" bottom="0.34" header="0.3" footer="0.3"/>
  <pageSetup scale="56" orientation="portrait" r:id="rId1"/>
  <rowBreaks count="2" manualBreakCount="2">
    <brk id="49" min="1" max="16" man="1"/>
    <brk id="74" min="1" max="16" man="1"/>
  </rowBreaks>
  <ignoredErrors>
    <ignoredError sqref="C45:F45 L47 Q43:Q47 C62:G62 P92:Q92 C48:F48 C46:G46 C47:F47 K91:L91 F41 F44 F42:F43 C39:G39 D44:E44 D40:F40 D42:E43 D41:E41 C94:G94 C95:F96 F88 F92 F89:F91 C93:F93 C86:G86 D92:E92 D87:F87 D89:E91 D88:E88 G25 G26 I25:I26 F23:H23 F26 F25 K92:L92 P89:P91 L33:L42 K33:K42 P33:Q38 L48:Q48 L70:Q70 C87:C92 C40:C44 C69:G69 C63:F63 C64:F68 C72:F72 C70:F70 C71:F71 G71:G72 G93 G87:G92 G95:G96 G63:G68 G70 G40:G45 F24:G24 H24:H26" unlockedFormula="1"/>
    <ignoredError sqref="I23:I24" evalError="1"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F452A-C893-46D2-AA35-5D96378B734A}">
  <sheetPr>
    <tabColor rgb="FF92D050"/>
    <pageSetUpPr fitToPage="1"/>
  </sheetPr>
  <dimension ref="A1:U80"/>
  <sheetViews>
    <sheetView tabSelected="1" zoomScaleNormal="100" workbookViewId="0">
      <pane xSplit="6" ySplit="6" topLeftCell="G7" activePane="bottomRight" state="frozen"/>
      <selection activeCell="G7" sqref="G7"/>
      <selection pane="topRight" activeCell="G7" sqref="G7"/>
      <selection pane="bottomLeft" activeCell="G7" sqref="G7"/>
      <selection pane="bottomRight" activeCell="O4" sqref="O4"/>
    </sheetView>
  </sheetViews>
  <sheetFormatPr defaultColWidth="8.7109375" defaultRowHeight="15"/>
  <cols>
    <col min="1" max="1" width="21.85546875" style="966" bestFit="1" customWidth="1"/>
    <col min="2" max="2" width="10.5703125" style="966" bestFit="1" customWidth="1"/>
    <col min="3" max="3" width="14.28515625" style="966" bestFit="1" customWidth="1"/>
    <col min="4" max="4" width="12" style="966" bestFit="1" customWidth="1"/>
    <col min="5" max="5" width="13.28515625" style="966" bestFit="1" customWidth="1"/>
    <col min="6" max="6" width="1.42578125" style="965" customWidth="1"/>
    <col min="7" max="7" width="10.28515625" style="966" customWidth="1"/>
    <col min="8" max="8" width="10.5703125" style="1218" bestFit="1" customWidth="1"/>
    <col min="9" max="9" width="10.5703125" style="966" bestFit="1" customWidth="1"/>
    <col min="10" max="10" width="2.140625" style="966" customWidth="1"/>
    <col min="11" max="11" width="24.85546875" style="966" bestFit="1" customWidth="1"/>
    <col min="12" max="12" width="10" style="966" bestFit="1" customWidth="1"/>
    <col min="13" max="13" width="2.85546875" style="966" customWidth="1"/>
    <col min="14" max="14" width="10.5703125" style="966" bestFit="1" customWidth="1"/>
    <col min="15" max="15" width="11.5703125" style="966" bestFit="1" customWidth="1"/>
    <col min="16" max="16" width="12.140625" style="966" bestFit="1" customWidth="1"/>
    <col min="17" max="17" width="11.5703125" style="966" bestFit="1" customWidth="1"/>
    <col min="18" max="18" width="12.140625" style="966" bestFit="1" customWidth="1"/>
    <col min="19" max="19" width="13.28515625" style="967" bestFit="1" customWidth="1"/>
    <col min="20" max="20" width="13.28515625" style="966" bestFit="1" customWidth="1"/>
    <col min="21" max="16384" width="8.7109375" style="966"/>
  </cols>
  <sheetData>
    <row r="1" spans="1:21" ht="15.75">
      <c r="A1" s="1216" t="s">
        <v>882</v>
      </c>
      <c r="B1" s="1216"/>
      <c r="C1" s="1216"/>
      <c r="D1" s="1216"/>
      <c r="E1" s="1216"/>
    </row>
    <row r="2" spans="1:21">
      <c r="B2" s="968"/>
      <c r="C2" s="968" t="s">
        <v>883</v>
      </c>
      <c r="D2" s="968" t="s">
        <v>884</v>
      </c>
      <c r="E2" s="968" t="s">
        <v>885</v>
      </c>
      <c r="K2" s="1007" t="s">
        <v>886</v>
      </c>
      <c r="L2" s="1008"/>
      <c r="M2" s="1008"/>
      <c r="N2" s="1009">
        <v>10.079032258055504</v>
      </c>
      <c r="O2" s="1009">
        <v>11.505555555556203</v>
      </c>
      <c r="P2" s="1009">
        <v>12.99</v>
      </c>
      <c r="Q2" s="1009">
        <v>14.298333333339542</v>
      </c>
      <c r="R2" s="1009">
        <v>14.981182795705184</v>
      </c>
      <c r="S2" s="1010"/>
      <c r="T2" s="1011">
        <v>11.79</v>
      </c>
    </row>
    <row r="3" spans="1:21" ht="30.75">
      <c r="A3" s="969" t="s">
        <v>834</v>
      </c>
      <c r="B3" s="968"/>
      <c r="C3" s="970" t="s">
        <v>887</v>
      </c>
      <c r="D3" s="971" t="s">
        <v>888</v>
      </c>
      <c r="E3" s="972" t="s">
        <v>889</v>
      </c>
      <c r="K3" s="1012" t="s">
        <v>890</v>
      </c>
      <c r="L3" s="1013"/>
      <c r="M3" s="1013"/>
      <c r="N3" s="1014">
        <v>7.42</v>
      </c>
      <c r="O3" s="1014">
        <v>11.79</v>
      </c>
      <c r="P3" s="1014">
        <v>14.3</v>
      </c>
      <c r="Q3" s="1014">
        <v>17.73</v>
      </c>
      <c r="R3" s="1014">
        <v>14.33</v>
      </c>
      <c r="S3" s="1015"/>
      <c r="T3" s="1016"/>
      <c r="U3" s="973"/>
    </row>
    <row r="4" spans="1:21">
      <c r="B4" s="968"/>
      <c r="C4" s="974"/>
      <c r="D4" s="974"/>
      <c r="E4" s="974"/>
      <c r="G4" s="975" t="s">
        <v>891</v>
      </c>
      <c r="H4" s="1219"/>
      <c r="I4" s="976"/>
      <c r="K4" s="1017" t="s">
        <v>892</v>
      </c>
      <c r="L4" s="1018"/>
      <c r="M4" s="1018"/>
      <c r="N4" s="1019">
        <v>31</v>
      </c>
      <c r="O4" s="1019">
        <v>30</v>
      </c>
      <c r="P4" s="1019">
        <v>31</v>
      </c>
      <c r="Q4" s="1019">
        <v>30</v>
      </c>
      <c r="R4" s="1020">
        <v>31</v>
      </c>
      <c r="S4" s="1021"/>
      <c r="T4" s="1022">
        <v>365</v>
      </c>
    </row>
    <row r="5" spans="1:21" ht="38.1" customHeight="1">
      <c r="A5" s="1074" t="s">
        <v>893</v>
      </c>
      <c r="B5" s="1075" t="s">
        <v>894</v>
      </c>
      <c r="C5" s="1075" t="s">
        <v>895</v>
      </c>
      <c r="D5" s="1075" t="s">
        <v>896</v>
      </c>
      <c r="E5" s="1075" t="s">
        <v>897</v>
      </c>
      <c r="F5" s="1076"/>
      <c r="G5" s="1077" t="s">
        <v>898</v>
      </c>
      <c r="H5" s="1220" t="s">
        <v>894</v>
      </c>
      <c r="I5" s="1078" t="s">
        <v>896</v>
      </c>
      <c r="J5" s="979"/>
      <c r="K5" s="1023" t="s">
        <v>921</v>
      </c>
      <c r="L5" s="1024" t="s">
        <v>899</v>
      </c>
      <c r="M5" s="1025"/>
      <c r="N5" s="1026" t="s">
        <v>900</v>
      </c>
      <c r="O5" s="1026" t="s">
        <v>901</v>
      </c>
      <c r="P5" s="1026" t="s">
        <v>902</v>
      </c>
      <c r="Q5" s="1026" t="s">
        <v>903</v>
      </c>
      <c r="R5" s="1026" t="s">
        <v>904</v>
      </c>
      <c r="S5" s="1027" t="s">
        <v>905</v>
      </c>
      <c r="T5" s="1027" t="s">
        <v>906</v>
      </c>
    </row>
    <row r="6" spans="1:21">
      <c r="A6" s="1046"/>
      <c r="B6" s="1047"/>
      <c r="C6" s="1047"/>
      <c r="D6" s="1047"/>
      <c r="E6" s="1037"/>
      <c r="F6" s="1040"/>
      <c r="G6" s="1048"/>
      <c r="H6" s="1221"/>
      <c r="I6" s="1049"/>
      <c r="J6" s="981"/>
      <c r="L6" s="985">
        <v>0.9</v>
      </c>
      <c r="S6" s="982"/>
      <c r="T6" s="982"/>
    </row>
    <row r="7" spans="1:21">
      <c r="A7" s="1050" t="s">
        <v>907</v>
      </c>
      <c r="B7" s="1047"/>
      <c r="C7" s="1047"/>
      <c r="D7" s="1047"/>
      <c r="E7" s="1037"/>
      <c r="F7" s="1040"/>
      <c r="G7" s="1045"/>
      <c r="H7" s="1221"/>
      <c r="I7" s="1049"/>
      <c r="J7" s="981"/>
      <c r="M7" s="986"/>
      <c r="N7" s="987"/>
      <c r="O7" s="987"/>
      <c r="P7" s="987"/>
      <c r="Q7" s="987"/>
      <c r="R7" s="987"/>
      <c r="S7" s="988"/>
      <c r="T7" s="988"/>
    </row>
    <row r="8" spans="1:21">
      <c r="A8" s="1051">
        <v>91</v>
      </c>
      <c r="B8" s="1232">
        <v>1153</v>
      </c>
      <c r="C8" s="1250">
        <v>104923</v>
      </c>
      <c r="D8" s="1254">
        <v>40477.099999999125</v>
      </c>
      <c r="E8" s="1229">
        <f t="shared" ref="E8:E11" si="0">C8-D8</f>
        <v>64445.900000000875</v>
      </c>
      <c r="F8" s="1040"/>
      <c r="G8" s="1045"/>
      <c r="H8" s="1222"/>
      <c r="I8" s="1054"/>
      <c r="J8" s="990"/>
      <c r="M8" s="986"/>
      <c r="N8" s="987"/>
      <c r="O8" s="987"/>
      <c r="P8" s="987"/>
      <c r="Q8" s="987"/>
      <c r="R8" s="987"/>
      <c r="S8" s="988"/>
      <c r="T8" s="988"/>
    </row>
    <row r="9" spans="1:21">
      <c r="A9" s="1051">
        <v>130</v>
      </c>
      <c r="B9" s="1232">
        <f>1559+1</f>
        <v>1560</v>
      </c>
      <c r="C9" s="1250">
        <f>202670+130</f>
        <v>202800</v>
      </c>
      <c r="D9" s="1254">
        <f>56672.4999999994+35.1</f>
        <v>56707.599999999402</v>
      </c>
      <c r="E9" s="1229">
        <f t="shared" si="0"/>
        <v>146092.40000000061</v>
      </c>
      <c r="F9" s="1040"/>
      <c r="G9" s="1045"/>
      <c r="H9" s="1222"/>
      <c r="I9" s="1054"/>
      <c r="J9" s="990"/>
      <c r="M9" s="986"/>
      <c r="N9" s="987"/>
      <c r="O9" s="987"/>
      <c r="P9" s="987"/>
      <c r="Q9" s="987"/>
      <c r="R9" s="987"/>
      <c r="S9" s="988"/>
      <c r="T9" s="988"/>
    </row>
    <row r="10" spans="1:21">
      <c r="A10" s="1051">
        <v>196</v>
      </c>
      <c r="B10" s="1232">
        <v>159</v>
      </c>
      <c r="C10" s="1250">
        <v>31164</v>
      </c>
      <c r="D10" s="1254">
        <v>6107.9</v>
      </c>
      <c r="E10" s="1229">
        <f t="shared" si="0"/>
        <v>25056.1</v>
      </c>
      <c r="F10" s="1040"/>
      <c r="G10" s="1055">
        <v>35.1</v>
      </c>
      <c r="H10" s="1222">
        <v>2141</v>
      </c>
      <c r="I10" s="1056">
        <f>H10*G10</f>
        <v>75149.100000000006</v>
      </c>
      <c r="J10" s="991"/>
      <c r="M10" s="986"/>
      <c r="N10" s="987"/>
      <c r="O10" s="987"/>
      <c r="P10" s="987"/>
      <c r="Q10" s="987"/>
      <c r="R10" s="987"/>
      <c r="S10" s="988"/>
      <c r="T10" s="988"/>
    </row>
    <row r="11" spans="1:21">
      <c r="A11" s="1051">
        <v>246</v>
      </c>
      <c r="B11" s="1232">
        <v>185</v>
      </c>
      <c r="C11" s="1250">
        <v>45510</v>
      </c>
      <c r="D11" s="1254">
        <v>7122.5</v>
      </c>
      <c r="E11" s="1229">
        <f t="shared" si="0"/>
        <v>38387.5</v>
      </c>
      <c r="F11" s="1040"/>
      <c r="G11" s="1055">
        <v>38.5</v>
      </c>
      <c r="H11" s="1223">
        <v>916</v>
      </c>
      <c r="I11" s="1057">
        <f>H11*G11</f>
        <v>35266</v>
      </c>
      <c r="J11" s="992"/>
      <c r="M11" s="986"/>
      <c r="N11" s="987"/>
      <c r="O11" s="987"/>
      <c r="P11" s="987"/>
      <c r="Q11" s="987"/>
      <c r="R11" s="987"/>
      <c r="S11" s="988"/>
      <c r="T11" s="988"/>
    </row>
    <row r="12" spans="1:21">
      <c r="A12" s="1058" t="s">
        <v>911</v>
      </c>
      <c r="B12" s="1248">
        <f>SUM(B8:B11)</f>
        <v>3057</v>
      </c>
      <c r="C12" s="984">
        <f>SUM(C8:C11)</f>
        <v>384397</v>
      </c>
      <c r="D12" s="1255">
        <f>SUM(D8:D11)</f>
        <v>110415.09999999852</v>
      </c>
      <c r="E12" s="1244">
        <f>SUM(E8:E11)</f>
        <v>273981.90000000148</v>
      </c>
      <c r="F12" s="1040"/>
      <c r="G12" s="1059"/>
      <c r="H12" s="1224">
        <f t="shared" ref="H12:I12" si="1">SUM(H10:H11)</f>
        <v>3057</v>
      </c>
      <c r="I12" s="1060">
        <f t="shared" si="1"/>
        <v>110415.1</v>
      </c>
      <c r="J12" s="992"/>
      <c r="K12" s="993">
        <f>E12/1000</f>
        <v>273.98190000000147</v>
      </c>
      <c r="L12" s="993">
        <f>K12*$L$6</f>
        <v>246.58371000000133</v>
      </c>
      <c r="N12" s="994">
        <f>$L12*N$2*N$3</f>
        <v>18441.112742115547</v>
      </c>
      <c r="O12" s="995">
        <f>$L12*O$2*O$4</f>
        <v>85112.477235005237</v>
      </c>
      <c r="P12" s="995">
        <f>$L12*P$2*P$4</f>
        <v>99296.794179900549</v>
      </c>
      <c r="Q12" s="995">
        <f>$L12*Q$2*Q$4</f>
        <v>105772.0824045465</v>
      </c>
      <c r="R12" s="995">
        <f>$L12*R$2*R$4</f>
        <v>114517.58465254847</v>
      </c>
      <c r="S12" s="996">
        <f t="shared" ref="S12" si="2">SUM(N12:R12)</f>
        <v>423140.05121411633</v>
      </c>
      <c r="T12" s="996">
        <f>$L12*$T$2*$T$4</f>
        <v>1061136.0084285056</v>
      </c>
    </row>
    <row r="13" spans="1:21">
      <c r="A13" s="1046"/>
      <c r="B13" s="1059"/>
      <c r="C13" s="1047"/>
      <c r="D13" s="1245"/>
      <c r="E13" s="1229"/>
      <c r="F13" s="1040"/>
      <c r="G13" s="1045"/>
      <c r="H13" s="1222"/>
      <c r="I13" s="1054"/>
      <c r="J13" s="990"/>
      <c r="S13" s="982"/>
      <c r="T13" s="982"/>
    </row>
    <row r="14" spans="1:21">
      <c r="A14" s="1050" t="s">
        <v>907</v>
      </c>
      <c r="B14" s="1059"/>
      <c r="C14" s="1047"/>
      <c r="D14" s="1245"/>
      <c r="E14" s="1229"/>
      <c r="F14" s="1040"/>
      <c r="G14" s="1045"/>
      <c r="H14" s="1222"/>
      <c r="I14" s="1054"/>
      <c r="J14" s="990"/>
      <c r="S14" s="982"/>
      <c r="T14" s="982"/>
    </row>
    <row r="15" spans="1:21">
      <c r="A15" s="1051">
        <v>91</v>
      </c>
      <c r="B15" s="1232">
        <v>1368</v>
      </c>
      <c r="C15" s="1250">
        <v>124488</v>
      </c>
      <c r="D15" s="1254">
        <v>48074.599999998834</v>
      </c>
      <c r="E15" s="1229">
        <f t="shared" ref="E15:E18" si="3">C15-D15</f>
        <v>76413.400000001158</v>
      </c>
      <c r="F15" s="1040"/>
      <c r="G15" s="1045"/>
      <c r="H15" s="1222"/>
      <c r="I15" s="1054"/>
      <c r="J15" s="990"/>
      <c r="S15" s="982"/>
      <c r="T15" s="982"/>
    </row>
    <row r="16" spans="1:21">
      <c r="A16" s="1051">
        <v>130</v>
      </c>
      <c r="B16" s="1232">
        <v>1959</v>
      </c>
      <c r="C16" s="1250">
        <v>254670</v>
      </c>
      <c r="D16" s="1254">
        <v>70185.499999998559</v>
      </c>
      <c r="E16" s="1229">
        <f t="shared" si="3"/>
        <v>184484.50000000146</v>
      </c>
      <c r="F16" s="1040"/>
      <c r="G16" s="1045"/>
      <c r="H16" s="1222"/>
      <c r="I16" s="1054"/>
      <c r="J16" s="990"/>
      <c r="S16" s="982"/>
      <c r="T16" s="982"/>
    </row>
    <row r="17" spans="1:20">
      <c r="A17" s="1051">
        <v>196</v>
      </c>
      <c r="B17" s="1232">
        <v>505</v>
      </c>
      <c r="C17" s="1250">
        <v>98980</v>
      </c>
      <c r="D17" s="1254">
        <v>19058.299999999992</v>
      </c>
      <c r="E17" s="1229">
        <f t="shared" si="3"/>
        <v>79921.700000000012</v>
      </c>
      <c r="F17" s="1040"/>
      <c r="G17" s="1045">
        <v>35.1</v>
      </c>
      <c r="H17" s="1222">
        <v>3078</v>
      </c>
      <c r="I17" s="1056">
        <f>H17*G17</f>
        <v>108037.8</v>
      </c>
      <c r="J17" s="991"/>
      <c r="S17" s="982"/>
      <c r="T17" s="982"/>
    </row>
    <row r="18" spans="1:20">
      <c r="A18" s="1051">
        <v>246</v>
      </c>
      <c r="B18" s="1232">
        <v>270</v>
      </c>
      <c r="C18" s="1250">
        <v>66420</v>
      </c>
      <c r="D18" s="1254">
        <v>10143.399999999996</v>
      </c>
      <c r="E18" s="1229">
        <f t="shared" si="3"/>
        <v>56276.600000000006</v>
      </c>
      <c r="F18" s="1040"/>
      <c r="G18" s="1045">
        <v>38.5</v>
      </c>
      <c r="H18" s="1222">
        <v>1024</v>
      </c>
      <c r="I18" s="1057">
        <f>H18*G18</f>
        <v>39424</v>
      </c>
      <c r="J18" s="992"/>
      <c r="S18" s="982"/>
      <c r="T18" s="982"/>
    </row>
    <row r="19" spans="1:20">
      <c r="A19" s="1058" t="s">
        <v>912</v>
      </c>
      <c r="B19" s="1248">
        <f>SUM(B15:B18)</f>
        <v>4102</v>
      </c>
      <c r="C19" s="984">
        <f>SUM(C15:C18)</f>
        <v>544558</v>
      </c>
      <c r="D19" s="1255">
        <f>SUM(D15:D18)</f>
        <v>147461.79999999737</v>
      </c>
      <c r="E19" s="1244">
        <f>SUM(E15:E18)</f>
        <v>397096.20000000263</v>
      </c>
      <c r="F19" s="1040"/>
      <c r="G19" s="1045"/>
      <c r="H19" s="1224">
        <v>4102</v>
      </c>
      <c r="I19" s="1060">
        <f t="shared" ref="I19" si="4">SUM(I17:I18)</f>
        <v>147461.79999999999</v>
      </c>
      <c r="J19" s="992"/>
      <c r="K19" s="993">
        <f>E19/1000</f>
        <v>397.09620000000263</v>
      </c>
      <c r="L19" s="993">
        <f>K19*$L$6</f>
        <v>357.38658000000237</v>
      </c>
      <c r="M19" s="986"/>
      <c r="N19" s="997"/>
      <c r="O19" s="994">
        <f>$L19*O$2*O$3</f>
        <v>48479.668270293048</v>
      </c>
      <c r="P19" s="995">
        <f>$L19*P$2*P$4</f>
        <v>143916.00190020094</v>
      </c>
      <c r="Q19" s="995">
        <f>$L19*Q$2*Q$4</f>
        <v>153300.97349106759</v>
      </c>
      <c r="R19" s="995">
        <f>$L19*R$2*R$4</f>
        <v>165976.28419507045</v>
      </c>
      <c r="S19" s="996">
        <f t="shared" ref="S19" si="5">SUM(N19:R19)</f>
        <v>511672.92785663198</v>
      </c>
      <c r="T19" s="996">
        <f>$L19*$T$2*$T$4</f>
        <v>1537959.5390430102</v>
      </c>
    </row>
    <row r="20" spans="1:20">
      <c r="A20" s="1046"/>
      <c r="B20" s="1059"/>
      <c r="C20" s="1047"/>
      <c r="D20" s="1245"/>
      <c r="E20" s="1229"/>
      <c r="F20" s="1040"/>
      <c r="G20" s="1045"/>
      <c r="H20" s="1222"/>
      <c r="I20" s="1054"/>
      <c r="J20" s="990"/>
      <c r="S20" s="982"/>
      <c r="T20" s="982"/>
    </row>
    <row r="21" spans="1:20">
      <c r="A21" s="1050" t="s">
        <v>908</v>
      </c>
      <c r="B21" s="1059"/>
      <c r="C21" s="1047"/>
      <c r="D21" s="1245"/>
      <c r="E21" s="1229"/>
      <c r="F21" s="1040"/>
      <c r="G21" s="1045"/>
      <c r="H21" s="1222"/>
      <c r="I21" s="1054"/>
      <c r="J21" s="990"/>
      <c r="S21" s="982"/>
      <c r="T21" s="982"/>
    </row>
    <row r="22" spans="1:20">
      <c r="A22" s="1051">
        <v>91</v>
      </c>
      <c r="B22" s="1232">
        <v>1726</v>
      </c>
      <c r="C22" s="1250">
        <v>157066</v>
      </c>
      <c r="D22" s="1254">
        <v>60619.999999998297</v>
      </c>
      <c r="E22" s="1229">
        <f t="shared" ref="E22:E28" si="6">C22-D22</f>
        <v>96446.000000001703</v>
      </c>
      <c r="F22" s="1040"/>
      <c r="G22" s="1045"/>
      <c r="H22" s="1222"/>
      <c r="I22" s="1054"/>
      <c r="J22" s="990"/>
      <c r="S22" s="982"/>
      <c r="T22" s="982"/>
    </row>
    <row r="23" spans="1:20">
      <c r="A23" s="1051">
        <v>130</v>
      </c>
      <c r="B23" s="1232">
        <v>2104</v>
      </c>
      <c r="C23" s="1250">
        <v>273520</v>
      </c>
      <c r="D23" s="1254">
        <v>76121.100000000006</v>
      </c>
      <c r="E23" s="1229">
        <f t="shared" si="6"/>
        <v>197398.9</v>
      </c>
      <c r="F23" s="1040"/>
      <c r="G23" s="1045"/>
      <c r="H23" s="1222"/>
      <c r="I23" s="1054"/>
      <c r="J23" s="990"/>
      <c r="S23" s="982"/>
      <c r="T23" s="982"/>
    </row>
    <row r="24" spans="1:20">
      <c r="A24" s="1051">
        <v>155</v>
      </c>
      <c r="B24" s="1232">
        <v>4</v>
      </c>
      <c r="C24" s="1250">
        <v>620</v>
      </c>
      <c r="D24" s="1254">
        <v>140.4</v>
      </c>
      <c r="E24" s="1229">
        <f t="shared" si="6"/>
        <v>479.6</v>
      </c>
      <c r="F24" s="1040"/>
      <c r="G24" s="1045"/>
      <c r="H24" s="1222"/>
      <c r="I24" s="1054"/>
      <c r="J24" s="990"/>
      <c r="S24" s="982"/>
      <c r="T24" s="982"/>
    </row>
    <row r="25" spans="1:20">
      <c r="A25" s="1051">
        <v>196</v>
      </c>
      <c r="B25" s="1232">
        <v>339</v>
      </c>
      <c r="C25" s="1250">
        <v>66444</v>
      </c>
      <c r="D25" s="1254">
        <v>13054.7</v>
      </c>
      <c r="E25" s="1229">
        <f t="shared" si="6"/>
        <v>53389.3</v>
      </c>
      <c r="F25" s="1040"/>
      <c r="G25" s="1045"/>
      <c r="H25" s="1222"/>
      <c r="I25" s="1054"/>
      <c r="J25" s="990"/>
      <c r="S25" s="982"/>
      <c r="T25" s="982"/>
    </row>
    <row r="26" spans="1:20">
      <c r="A26" s="1051">
        <v>215</v>
      </c>
      <c r="B26" s="1232">
        <v>1</v>
      </c>
      <c r="C26" s="1250">
        <v>215</v>
      </c>
      <c r="D26" s="1254">
        <v>38.5</v>
      </c>
      <c r="E26" s="1229">
        <f t="shared" si="6"/>
        <v>176.5</v>
      </c>
      <c r="F26" s="1040"/>
      <c r="G26" s="1045">
        <v>35.1</v>
      </c>
      <c r="H26" s="1222">
        <v>3246</v>
      </c>
      <c r="I26" s="1054">
        <f t="shared" ref="I26:I29" si="7">H26*G26</f>
        <v>113934.6</v>
      </c>
      <c r="J26" s="990"/>
      <c r="S26" s="982"/>
      <c r="T26" s="982"/>
    </row>
    <row r="27" spans="1:20">
      <c r="A27" s="1051">
        <v>225</v>
      </c>
      <c r="B27" s="1232">
        <v>1</v>
      </c>
      <c r="C27" s="1250">
        <v>225</v>
      </c>
      <c r="D27" s="1254">
        <v>35.1</v>
      </c>
      <c r="E27" s="1229">
        <f t="shared" si="6"/>
        <v>189.9</v>
      </c>
      <c r="F27" s="1040"/>
      <c r="G27" s="1045">
        <v>38.5</v>
      </c>
      <c r="H27" s="1222">
        <v>1260</v>
      </c>
      <c r="I27" s="1054">
        <f t="shared" si="7"/>
        <v>48510</v>
      </c>
      <c r="J27" s="990"/>
      <c r="S27" s="982"/>
      <c r="T27" s="982"/>
    </row>
    <row r="28" spans="1:20">
      <c r="A28" s="1051">
        <v>246</v>
      </c>
      <c r="B28" s="1232">
        <v>340</v>
      </c>
      <c r="C28" s="1250">
        <v>83640</v>
      </c>
      <c r="D28" s="1254">
        <v>13551.8</v>
      </c>
      <c r="E28" s="1229">
        <f t="shared" si="6"/>
        <v>70088.2</v>
      </c>
      <c r="F28" s="1040"/>
      <c r="G28" s="1045">
        <v>78</v>
      </c>
      <c r="H28" s="1222">
        <f>4-1</f>
        <v>3</v>
      </c>
      <c r="I28" s="1054">
        <f t="shared" si="7"/>
        <v>234</v>
      </c>
      <c r="J28" s="990"/>
      <c r="S28" s="982"/>
      <c r="T28" s="982"/>
    </row>
    <row r="29" spans="1:20">
      <c r="A29" s="1051">
        <v>305</v>
      </c>
      <c r="B29" s="1232">
        <v>2</v>
      </c>
      <c r="C29" s="1250">
        <v>610</v>
      </c>
      <c r="D29" s="1254">
        <v>77</v>
      </c>
      <c r="E29" s="1229">
        <f>C29-D29</f>
        <v>533</v>
      </c>
      <c r="F29" s="1040"/>
      <c r="G29" s="1045">
        <v>120</v>
      </c>
      <c r="H29" s="1222">
        <v>8</v>
      </c>
      <c r="I29" s="1054">
        <f t="shared" si="7"/>
        <v>960</v>
      </c>
      <c r="J29" s="990"/>
      <c r="S29" s="982"/>
      <c r="T29" s="982"/>
    </row>
    <row r="30" spans="1:20">
      <c r="A30" s="1058" t="s">
        <v>913</v>
      </c>
      <c r="B30" s="1248">
        <f>SUM(B22:B29)</f>
        <v>4517</v>
      </c>
      <c r="C30" s="984">
        <f>SUM(C22:C29)</f>
        <v>582340</v>
      </c>
      <c r="D30" s="1255">
        <f>SUM(D22:D29)</f>
        <v>163638.59999999829</v>
      </c>
      <c r="E30" s="1244">
        <f>SUM(E22:E29)</f>
        <v>418701.40000000171</v>
      </c>
      <c r="F30" s="1040"/>
      <c r="G30" s="1045"/>
      <c r="H30" s="1224">
        <f>SUM(H26:H29)</f>
        <v>4517</v>
      </c>
      <c r="I30" s="1060">
        <f>SUM(I26:I29)</f>
        <v>163638.6</v>
      </c>
      <c r="J30" s="992"/>
      <c r="K30" s="993">
        <f>E30/1000</f>
        <v>418.70140000000168</v>
      </c>
      <c r="L30" s="993">
        <f>K30*$L$6</f>
        <v>376.83126000000152</v>
      </c>
      <c r="N30" s="997"/>
      <c r="O30" s="997"/>
      <c r="P30" s="994">
        <f>$L30*P$2*P$3</f>
        <v>69999.044363820285</v>
      </c>
      <c r="Q30" s="995">
        <f>$L30*Q$2*Q$4</f>
        <v>161641.76897707084</v>
      </c>
      <c r="R30" s="995">
        <f>$L30*R$2*R$4</f>
        <v>175006.71766507384</v>
      </c>
      <c r="S30" s="996">
        <f t="shared" ref="S30" si="8">SUM(N30:R30)</f>
        <v>406647.53100596496</v>
      </c>
      <c r="T30" s="996">
        <f>$L30*$T$2*$T$4</f>
        <v>1621636.8027210063</v>
      </c>
    </row>
    <row r="31" spans="1:20">
      <c r="A31" s="1046"/>
      <c r="B31" s="1059"/>
      <c r="C31" s="1047"/>
      <c r="D31" s="1245"/>
      <c r="E31" s="1229"/>
      <c r="F31" s="1040"/>
      <c r="G31" s="1045"/>
      <c r="H31" s="1222"/>
      <c r="I31" s="1054"/>
      <c r="J31" s="990"/>
      <c r="S31" s="982"/>
      <c r="T31" s="982"/>
    </row>
    <row r="32" spans="1:20">
      <c r="A32" s="1050" t="s">
        <v>907</v>
      </c>
      <c r="B32" s="1059"/>
      <c r="C32" s="1047"/>
      <c r="D32" s="1245"/>
      <c r="E32" s="1229"/>
      <c r="F32" s="1040"/>
      <c r="G32" s="1045"/>
      <c r="H32" s="1222"/>
      <c r="I32" s="1054"/>
      <c r="J32" s="990"/>
      <c r="S32" s="982"/>
      <c r="T32" s="982"/>
    </row>
    <row r="33" spans="1:20">
      <c r="A33" s="1051">
        <v>91</v>
      </c>
      <c r="B33" s="1232">
        <v>1094</v>
      </c>
      <c r="C33" s="1250">
        <v>99554</v>
      </c>
      <c r="D33" s="1254">
        <v>38460.599999999235</v>
      </c>
      <c r="E33" s="1229">
        <f t="shared" ref="E33:E38" si="9">C33-D33</f>
        <v>61093.400000000765</v>
      </c>
      <c r="F33" s="1040"/>
      <c r="G33" s="1045"/>
      <c r="H33" s="1222"/>
      <c r="I33" s="1054"/>
      <c r="J33" s="990"/>
      <c r="S33" s="982"/>
      <c r="T33" s="982"/>
    </row>
    <row r="34" spans="1:20">
      <c r="A34" s="1051">
        <v>130</v>
      </c>
      <c r="B34" s="1232">
        <v>1605</v>
      </c>
      <c r="C34" s="1250">
        <v>208650</v>
      </c>
      <c r="D34" s="1254">
        <v>58127.299999999203</v>
      </c>
      <c r="E34" s="1229">
        <f t="shared" si="9"/>
        <v>150522.7000000008</v>
      </c>
      <c r="F34" s="1040"/>
      <c r="G34" s="1045"/>
      <c r="H34" s="1222"/>
      <c r="I34" s="1054"/>
      <c r="J34" s="990"/>
      <c r="S34" s="982"/>
      <c r="T34" s="982"/>
    </row>
    <row r="35" spans="1:20">
      <c r="A35" s="1051">
        <v>135</v>
      </c>
      <c r="B35" s="1232">
        <v>2</v>
      </c>
      <c r="C35" s="1250">
        <v>270</v>
      </c>
      <c r="D35" s="1254">
        <v>70.2</v>
      </c>
      <c r="E35" s="1229">
        <f t="shared" si="9"/>
        <v>199.8</v>
      </c>
      <c r="F35" s="1040"/>
      <c r="G35" s="1045">
        <v>35.1</v>
      </c>
      <c r="H35" s="1222">
        <v>2204</v>
      </c>
      <c r="I35" s="1054">
        <f t="shared" ref="I35:I39" si="10">H35*G35</f>
        <v>77360.400000000009</v>
      </c>
      <c r="J35" s="990"/>
      <c r="S35" s="982"/>
      <c r="T35" s="982"/>
    </row>
    <row r="36" spans="1:20">
      <c r="A36" s="1051">
        <v>196</v>
      </c>
      <c r="B36" s="1232">
        <v>264</v>
      </c>
      <c r="C36" s="1250">
        <v>51744</v>
      </c>
      <c r="D36" s="1254">
        <v>10277.399999999994</v>
      </c>
      <c r="E36" s="1229">
        <f t="shared" si="9"/>
        <v>41466.600000000006</v>
      </c>
      <c r="F36" s="1040"/>
      <c r="G36" s="1045">
        <v>38.5</v>
      </c>
      <c r="H36" s="1222">
        <v>984</v>
      </c>
      <c r="I36" s="1054">
        <f t="shared" si="10"/>
        <v>37884</v>
      </c>
      <c r="J36" s="990"/>
      <c r="S36" s="982"/>
      <c r="T36" s="982"/>
    </row>
    <row r="37" spans="1:20">
      <c r="A37" s="1051">
        <v>225</v>
      </c>
      <c r="B37" s="1232">
        <v>5</v>
      </c>
      <c r="C37" s="1250">
        <v>1125</v>
      </c>
      <c r="D37" s="1254">
        <v>182.3</v>
      </c>
      <c r="E37" s="1229">
        <f t="shared" si="9"/>
        <v>942.7</v>
      </c>
      <c r="F37" s="1040"/>
      <c r="G37" s="1045">
        <v>53.4</v>
      </c>
      <c r="H37" s="1222">
        <v>14</v>
      </c>
      <c r="I37" s="1054">
        <f t="shared" si="10"/>
        <v>747.6</v>
      </c>
      <c r="J37" s="990"/>
      <c r="S37" s="982"/>
      <c r="T37" s="982"/>
    </row>
    <row r="38" spans="1:20">
      <c r="A38" s="1051">
        <v>246</v>
      </c>
      <c r="B38" s="1232">
        <v>218</v>
      </c>
      <c r="C38" s="1250">
        <v>53628</v>
      </c>
      <c r="D38" s="1254">
        <v>8611.7100000000009</v>
      </c>
      <c r="E38" s="1229">
        <f t="shared" si="9"/>
        <v>45016.29</v>
      </c>
      <c r="F38" s="1040"/>
      <c r="G38" s="1045">
        <v>68.09</v>
      </c>
      <c r="H38" s="1222">
        <v>9</v>
      </c>
      <c r="I38" s="1054">
        <f t="shared" si="10"/>
        <v>612.81000000000006</v>
      </c>
      <c r="J38" s="990"/>
      <c r="S38" s="982"/>
      <c r="T38" s="982"/>
    </row>
    <row r="39" spans="1:20">
      <c r="A39" s="1051">
        <v>305</v>
      </c>
      <c r="B39" s="1232">
        <v>24</v>
      </c>
      <c r="C39" s="1250">
        <v>7320</v>
      </c>
      <c r="D39" s="1254">
        <v>995.3</v>
      </c>
      <c r="E39" s="1229">
        <f>C39-D39</f>
        <v>6324.7</v>
      </c>
      <c r="F39" s="1040"/>
      <c r="G39" s="1045">
        <v>120</v>
      </c>
      <c r="H39" s="1222">
        <f>3-2</f>
        <v>1</v>
      </c>
      <c r="I39" s="1054">
        <f t="shared" si="10"/>
        <v>120</v>
      </c>
      <c r="J39" s="990"/>
      <c r="S39" s="982"/>
      <c r="T39" s="982"/>
    </row>
    <row r="40" spans="1:20">
      <c r="A40" s="1058" t="s">
        <v>914</v>
      </c>
      <c r="B40" s="1248">
        <f>SUM(B33:B39)</f>
        <v>3212</v>
      </c>
      <c r="C40" s="984">
        <f t="shared" ref="C40:E40" si="11">SUM(C33:C39)</f>
        <v>422291</v>
      </c>
      <c r="D40" s="1255">
        <f t="shared" si="11"/>
        <v>116724.80999999844</v>
      </c>
      <c r="E40" s="1244">
        <f t="shared" si="11"/>
        <v>305566.19000000157</v>
      </c>
      <c r="F40" s="1040"/>
      <c r="G40" s="1045"/>
      <c r="H40" s="1224">
        <f>SUM(H35:H39)</f>
        <v>3212</v>
      </c>
      <c r="I40" s="1061">
        <f>SUM(I35:I39)</f>
        <v>116724.81000000001</v>
      </c>
      <c r="J40" s="990"/>
      <c r="K40" s="993">
        <f>E40/1000</f>
        <v>305.5661900000016</v>
      </c>
      <c r="L40" s="993">
        <f>K40*$L$6</f>
        <v>275.00957100000147</v>
      </c>
      <c r="N40" s="998"/>
      <c r="O40" s="998"/>
      <c r="P40" s="998"/>
      <c r="Q40" s="994">
        <f>$L40*Q$2*Q$3</f>
        <v>69717.525088976603</v>
      </c>
      <c r="R40" s="995">
        <f>$L40*R$2*R$4</f>
        <v>127719.02826530406</v>
      </c>
      <c r="S40" s="996">
        <f t="shared" ref="S40" si="12">SUM(N40:R40)</f>
        <v>197436.55335428065</v>
      </c>
      <c r="T40" s="996">
        <f>$L40*$T$2*$T$4</f>
        <v>1183462.4373628562</v>
      </c>
    </row>
    <row r="41" spans="1:20">
      <c r="A41" s="1058"/>
      <c r="B41" s="1249"/>
      <c r="C41" s="1062"/>
      <c r="D41" s="1246"/>
      <c r="E41" s="1246"/>
      <c r="F41" s="1040"/>
      <c r="G41" s="1045"/>
      <c r="H41" s="1222"/>
      <c r="I41" s="1054"/>
      <c r="J41" s="990"/>
      <c r="S41" s="982"/>
      <c r="T41" s="982"/>
    </row>
    <row r="42" spans="1:20">
      <c r="A42" s="1050" t="s">
        <v>907</v>
      </c>
      <c r="B42" s="1232"/>
      <c r="C42" s="1053"/>
      <c r="D42" s="1229"/>
      <c r="E42" s="1229"/>
      <c r="F42" s="1040"/>
      <c r="G42" s="1045"/>
      <c r="H42" s="1222"/>
      <c r="I42" s="1054"/>
      <c r="J42" s="990"/>
      <c r="S42" s="982"/>
      <c r="T42" s="982"/>
    </row>
    <row r="43" spans="1:20" ht="14.45" customHeight="1">
      <c r="A43" s="1051">
        <v>91</v>
      </c>
      <c r="B43" s="1232">
        <v>5</v>
      </c>
      <c r="C43" s="1251">
        <v>455</v>
      </c>
      <c r="D43" s="1256">
        <v>175.5</v>
      </c>
      <c r="E43" s="1256">
        <v>279.5</v>
      </c>
      <c r="F43" s="1040"/>
      <c r="G43" s="1045"/>
      <c r="H43" s="1222"/>
      <c r="I43" s="1054"/>
      <c r="J43" s="990"/>
      <c r="S43" s="982"/>
      <c r="T43" s="982"/>
    </row>
    <row r="44" spans="1:20" ht="14.45" customHeight="1">
      <c r="A44" s="1051">
        <v>130</v>
      </c>
      <c r="B44" s="1232">
        <v>21</v>
      </c>
      <c r="C44" s="1251">
        <v>2730</v>
      </c>
      <c r="D44" s="1256">
        <v>740.50000000000023</v>
      </c>
      <c r="E44" s="1256">
        <v>1989.5000000000007</v>
      </c>
      <c r="F44" s="1040"/>
      <c r="G44" s="1045"/>
      <c r="H44" s="1222"/>
      <c r="I44" s="1054"/>
      <c r="J44" s="990"/>
      <c r="S44" s="982"/>
      <c r="T44" s="982"/>
    </row>
    <row r="45" spans="1:20" ht="14.45" customHeight="1">
      <c r="A45" s="1051">
        <v>135</v>
      </c>
      <c r="B45" s="1232">
        <v>6</v>
      </c>
      <c r="C45" s="1251">
        <v>810</v>
      </c>
      <c r="D45" s="1256">
        <v>210.6</v>
      </c>
      <c r="E45" s="1256">
        <v>599.4</v>
      </c>
      <c r="F45" s="1040"/>
      <c r="G45" s="1045"/>
      <c r="H45" s="1222"/>
      <c r="I45" s="1054"/>
      <c r="J45" s="990"/>
      <c r="S45" s="982"/>
      <c r="T45" s="982"/>
    </row>
    <row r="46" spans="1:20" ht="14.45" customHeight="1">
      <c r="A46" s="1051">
        <v>195</v>
      </c>
      <c r="B46" s="1232">
        <v>1</v>
      </c>
      <c r="C46" s="1251">
        <v>195</v>
      </c>
      <c r="D46" s="1256">
        <v>38.5</v>
      </c>
      <c r="E46" s="1256">
        <v>156.5</v>
      </c>
      <c r="F46" s="1040"/>
      <c r="G46" s="1045"/>
      <c r="H46" s="1222"/>
      <c r="I46" s="1054"/>
      <c r="J46" s="990"/>
      <c r="S46" s="982"/>
      <c r="T46" s="982"/>
    </row>
    <row r="47" spans="1:20" ht="14.45" customHeight="1">
      <c r="A47" s="1051">
        <v>196</v>
      </c>
      <c r="B47" s="1232">
        <v>16</v>
      </c>
      <c r="C47" s="1251">
        <v>3136</v>
      </c>
      <c r="D47" s="1256">
        <v>599</v>
      </c>
      <c r="E47" s="1256">
        <v>2537</v>
      </c>
      <c r="F47" s="1040"/>
      <c r="G47" s="1045"/>
      <c r="H47" s="1222"/>
      <c r="I47" s="1054"/>
      <c r="J47" s="990"/>
      <c r="S47" s="982"/>
      <c r="T47" s="982"/>
    </row>
    <row r="48" spans="1:20" ht="14.45" customHeight="1">
      <c r="A48" s="1051">
        <v>225</v>
      </c>
      <c r="B48" s="1232">
        <v>8</v>
      </c>
      <c r="C48" s="1251">
        <v>1800</v>
      </c>
      <c r="D48" s="1256">
        <v>291</v>
      </c>
      <c r="E48" s="1256">
        <v>1509</v>
      </c>
      <c r="F48" s="1040"/>
      <c r="G48" s="1045">
        <v>35.1</v>
      </c>
      <c r="H48" s="1222">
        <v>45</v>
      </c>
      <c r="I48" s="1054">
        <f>H48*G48</f>
        <v>1579.5</v>
      </c>
      <c r="J48" s="990"/>
      <c r="S48" s="982"/>
      <c r="T48" s="982"/>
    </row>
    <row r="49" spans="1:20" ht="14.45" customHeight="1">
      <c r="A49" s="1051">
        <v>246</v>
      </c>
      <c r="B49" s="1232">
        <v>7</v>
      </c>
      <c r="C49" s="1251">
        <v>1722</v>
      </c>
      <c r="D49" s="1256">
        <v>255.9</v>
      </c>
      <c r="E49" s="1256">
        <v>1466.1</v>
      </c>
      <c r="F49" s="1040"/>
      <c r="G49" s="1045">
        <v>38.5</v>
      </c>
      <c r="H49" s="1222">
        <v>19</v>
      </c>
      <c r="I49" s="1054">
        <f>H49*G49</f>
        <v>731.5</v>
      </c>
      <c r="J49" s="990"/>
      <c r="S49" s="982"/>
      <c r="T49" s="982"/>
    </row>
    <row r="50" spans="1:20" ht="14.45" customHeight="1">
      <c r="A50" s="1063">
        <v>43070</v>
      </c>
      <c r="B50" s="1248">
        <f>SUM(B43:B49)</f>
        <v>64</v>
      </c>
      <c r="C50" s="1252">
        <f>SUM(C43:C49)</f>
        <v>10848</v>
      </c>
      <c r="D50" s="1257">
        <f>SUM(D43:D49)</f>
        <v>2311.0000000000005</v>
      </c>
      <c r="E50" s="1258">
        <f>SUM(E43:E49)</f>
        <v>8537.0000000000018</v>
      </c>
      <c r="F50" s="1064"/>
      <c r="G50" s="1045"/>
      <c r="H50" s="1224">
        <f t="shared" ref="H50:I50" si="13">SUM(H48:H49)</f>
        <v>64</v>
      </c>
      <c r="I50" s="1060">
        <f t="shared" si="13"/>
        <v>2311</v>
      </c>
      <c r="J50" s="992"/>
      <c r="K50" s="993">
        <f>E50/1000</f>
        <v>8.5370000000000026</v>
      </c>
      <c r="L50" s="993">
        <f>K50*$L$6</f>
        <v>7.6833000000000027</v>
      </c>
      <c r="N50" s="998"/>
      <c r="O50" s="998"/>
      <c r="P50" s="998"/>
      <c r="Q50" s="998"/>
      <c r="R50" s="994">
        <f>$L50*R$2*R$3</f>
        <v>1649.4535290248832</v>
      </c>
      <c r="S50" s="1000">
        <f t="shared" ref="S50" si="14">SUM(N50:R50)</f>
        <v>1649.4535290248832</v>
      </c>
      <c r="T50" s="996">
        <f>$L50*$T$2*$T$4</f>
        <v>33063.929055000008</v>
      </c>
    </row>
    <row r="51" spans="1:20" ht="14.45" customHeight="1">
      <c r="A51" s="1041"/>
      <c r="B51" s="1232"/>
      <c r="C51" s="1250"/>
      <c r="D51" s="1254"/>
      <c r="E51" s="1254"/>
      <c r="F51" s="1064"/>
      <c r="G51" s="1045"/>
      <c r="H51" s="1222"/>
      <c r="I51" s="1043"/>
      <c r="J51" s="981"/>
      <c r="S51" s="982"/>
      <c r="T51" s="982"/>
    </row>
    <row r="52" spans="1:20" ht="14.45" customHeight="1">
      <c r="A52" s="1041"/>
      <c r="B52" s="1232"/>
      <c r="C52" s="1053"/>
      <c r="D52" s="1229"/>
      <c r="E52" s="1229"/>
      <c r="F52" s="1064"/>
      <c r="G52" s="1045"/>
      <c r="H52" s="1222"/>
      <c r="I52" s="1043"/>
      <c r="J52" s="981"/>
      <c r="S52" s="982"/>
      <c r="T52" s="982"/>
    </row>
    <row r="53" spans="1:20" ht="14.45" customHeight="1">
      <c r="A53" s="1065">
        <v>91</v>
      </c>
      <c r="B53" s="1235">
        <f>SUMIF($A$7:$A$49,$A53,B$7:B$49)</f>
        <v>5346</v>
      </c>
      <c r="C53" s="1253">
        <f>SUMIF($A$7:$A$49,$A53,C$7:C$49)</f>
        <v>486486</v>
      </c>
      <c r="D53" s="1259">
        <f>SUMIF($A$7:$A$49,$A53,D$7:D$49)</f>
        <v>187807.79999999551</v>
      </c>
      <c r="E53" s="1259">
        <f>SUMIF($A$7:$A$49,$A53,E$7:E$49)</f>
        <v>298678.20000000449</v>
      </c>
      <c r="F53" s="1064"/>
      <c r="G53" s="1045"/>
      <c r="H53" s="1225"/>
      <c r="I53" s="1066"/>
      <c r="J53" s="981"/>
      <c r="S53" s="982"/>
      <c r="T53" s="982"/>
    </row>
    <row r="54" spans="1:20" ht="14.45" customHeight="1">
      <c r="A54" s="1065">
        <v>130</v>
      </c>
      <c r="B54" s="1235">
        <f t="shared" ref="B54:E62" si="15">SUMIF($A$7:$A$49,$A54,B$7:B$49)</f>
        <v>7249</v>
      </c>
      <c r="C54" s="1253">
        <f t="shared" si="15"/>
        <v>942370</v>
      </c>
      <c r="D54" s="1259">
        <f t="shared" si="15"/>
        <v>261881.99999999718</v>
      </c>
      <c r="E54" s="1259">
        <f t="shared" si="15"/>
        <v>680488.00000000279</v>
      </c>
      <c r="F54" s="1064"/>
      <c r="G54" s="1045"/>
      <c r="H54" s="1225"/>
      <c r="I54" s="1066"/>
      <c r="J54" s="981"/>
      <c r="S54" s="982"/>
      <c r="T54" s="982"/>
    </row>
    <row r="55" spans="1:20" ht="14.45" customHeight="1">
      <c r="A55" s="1065">
        <v>135</v>
      </c>
      <c r="B55" s="1235">
        <f t="shared" si="15"/>
        <v>8</v>
      </c>
      <c r="C55" s="1253">
        <f t="shared" si="15"/>
        <v>1080</v>
      </c>
      <c r="D55" s="1259">
        <f t="shared" si="15"/>
        <v>280.8</v>
      </c>
      <c r="E55" s="1259">
        <f t="shared" si="15"/>
        <v>799.2</v>
      </c>
      <c r="F55" s="1064"/>
      <c r="G55" s="1045"/>
      <c r="H55" s="1225"/>
      <c r="I55" s="1066"/>
      <c r="J55" s="981"/>
      <c r="S55" s="982"/>
      <c r="T55" s="982"/>
    </row>
    <row r="56" spans="1:20" ht="14.45" customHeight="1">
      <c r="A56" s="1065">
        <v>155</v>
      </c>
      <c r="B56" s="1235">
        <f t="shared" si="15"/>
        <v>4</v>
      </c>
      <c r="C56" s="1253">
        <f t="shared" si="15"/>
        <v>620</v>
      </c>
      <c r="D56" s="1259">
        <f t="shared" si="15"/>
        <v>140.4</v>
      </c>
      <c r="E56" s="1259">
        <f t="shared" si="15"/>
        <v>479.6</v>
      </c>
      <c r="F56" s="1064"/>
      <c r="G56" s="1045"/>
      <c r="H56" s="1225"/>
      <c r="I56" s="1066"/>
      <c r="J56" s="981"/>
      <c r="S56" s="982"/>
      <c r="T56" s="982"/>
    </row>
    <row r="57" spans="1:20" ht="14.45" customHeight="1">
      <c r="A57" s="1065">
        <v>195</v>
      </c>
      <c r="B57" s="1235">
        <f t="shared" si="15"/>
        <v>1</v>
      </c>
      <c r="C57" s="1253">
        <f t="shared" si="15"/>
        <v>195</v>
      </c>
      <c r="D57" s="1259">
        <f t="shared" si="15"/>
        <v>38.5</v>
      </c>
      <c r="E57" s="1259">
        <f t="shared" si="15"/>
        <v>156.5</v>
      </c>
      <c r="F57" s="1064"/>
      <c r="G57" s="1045">
        <v>35.1</v>
      </c>
      <c r="H57" s="1226">
        <f t="shared" ref="H57:I62" si="16">SUMIF($G$7:$G$49,$G57,H$7:H$49)</f>
        <v>10714</v>
      </c>
      <c r="I57" s="1067">
        <f t="shared" si="16"/>
        <v>376061.4</v>
      </c>
      <c r="J57" s="981"/>
      <c r="S57" s="982"/>
      <c r="T57" s="982"/>
    </row>
    <row r="58" spans="1:20" ht="14.45" customHeight="1">
      <c r="A58" s="1065">
        <v>196</v>
      </c>
      <c r="B58" s="1235">
        <f t="shared" si="15"/>
        <v>1283</v>
      </c>
      <c r="C58" s="1253">
        <f t="shared" si="15"/>
        <v>251468</v>
      </c>
      <c r="D58" s="1259">
        <f t="shared" si="15"/>
        <v>49097.299999999988</v>
      </c>
      <c r="E58" s="1259">
        <f t="shared" si="15"/>
        <v>202370.70000000004</v>
      </c>
      <c r="F58" s="1064"/>
      <c r="G58" s="1045">
        <v>38.5</v>
      </c>
      <c r="H58" s="1226">
        <f t="shared" si="16"/>
        <v>4203</v>
      </c>
      <c r="I58" s="1067">
        <f t="shared" si="16"/>
        <v>161815.5</v>
      </c>
      <c r="J58" s="981"/>
      <c r="S58" s="982"/>
      <c r="T58" s="982"/>
    </row>
    <row r="59" spans="1:20" ht="14.45" customHeight="1">
      <c r="A59" s="1065">
        <v>215</v>
      </c>
      <c r="B59" s="1235">
        <f t="shared" si="15"/>
        <v>1</v>
      </c>
      <c r="C59" s="1253">
        <f t="shared" si="15"/>
        <v>215</v>
      </c>
      <c r="D59" s="1259">
        <f t="shared" si="15"/>
        <v>38.5</v>
      </c>
      <c r="E59" s="1259">
        <f t="shared" si="15"/>
        <v>176.5</v>
      </c>
      <c r="F59" s="1064"/>
      <c r="G59" s="1045">
        <v>53.4</v>
      </c>
      <c r="H59" s="1226">
        <f t="shared" si="16"/>
        <v>14</v>
      </c>
      <c r="I59" s="1067">
        <f t="shared" si="16"/>
        <v>747.6</v>
      </c>
      <c r="J59" s="981"/>
      <c r="S59" s="982"/>
      <c r="T59" s="982"/>
    </row>
    <row r="60" spans="1:20" ht="14.45" customHeight="1">
      <c r="A60" s="1065">
        <v>225</v>
      </c>
      <c r="B60" s="1235">
        <f t="shared" si="15"/>
        <v>14</v>
      </c>
      <c r="C60" s="1253">
        <f t="shared" si="15"/>
        <v>3150</v>
      </c>
      <c r="D60" s="1259">
        <f t="shared" si="15"/>
        <v>508.4</v>
      </c>
      <c r="E60" s="1259">
        <f t="shared" si="15"/>
        <v>2641.6000000000004</v>
      </c>
      <c r="F60" s="1064"/>
      <c r="G60" s="1045">
        <v>68.09</v>
      </c>
      <c r="H60" s="1226">
        <f t="shared" si="16"/>
        <v>9</v>
      </c>
      <c r="I60" s="1067">
        <f t="shared" si="16"/>
        <v>612.81000000000006</v>
      </c>
      <c r="J60" s="981"/>
      <c r="S60" s="982"/>
      <c r="T60" s="982"/>
    </row>
    <row r="61" spans="1:20" ht="14.45" customHeight="1">
      <c r="A61" s="1065">
        <v>246</v>
      </c>
      <c r="B61" s="1235">
        <f t="shared" si="15"/>
        <v>1020</v>
      </c>
      <c r="C61" s="1253">
        <f t="shared" si="15"/>
        <v>250920</v>
      </c>
      <c r="D61" s="1259">
        <f t="shared" si="15"/>
        <v>39685.31</v>
      </c>
      <c r="E61" s="1259">
        <f t="shared" si="15"/>
        <v>211234.69</v>
      </c>
      <c r="F61" s="1064"/>
      <c r="G61" s="1045">
        <v>78</v>
      </c>
      <c r="H61" s="1226">
        <f t="shared" si="16"/>
        <v>3</v>
      </c>
      <c r="I61" s="1067">
        <f t="shared" si="16"/>
        <v>234</v>
      </c>
      <c r="J61" s="981"/>
      <c r="S61" s="982"/>
      <c r="T61" s="982"/>
    </row>
    <row r="62" spans="1:20" ht="14.45" customHeight="1">
      <c r="A62" s="1065">
        <v>305</v>
      </c>
      <c r="B62" s="1235">
        <f t="shared" si="15"/>
        <v>26</v>
      </c>
      <c r="C62" s="1253">
        <f t="shared" si="15"/>
        <v>7930</v>
      </c>
      <c r="D62" s="1259">
        <f t="shared" si="15"/>
        <v>1072.3</v>
      </c>
      <c r="E62" s="1259">
        <f t="shared" si="15"/>
        <v>6857.7</v>
      </c>
      <c r="F62" s="1064"/>
      <c r="G62" s="1045">
        <v>120</v>
      </c>
      <c r="H62" s="1226">
        <f t="shared" si="16"/>
        <v>9</v>
      </c>
      <c r="I62" s="1067">
        <f t="shared" si="16"/>
        <v>1080</v>
      </c>
      <c r="J62" s="981"/>
      <c r="S62" s="982"/>
      <c r="T62" s="982"/>
    </row>
    <row r="63" spans="1:20" ht="14.45" customHeight="1" thickBot="1">
      <c r="A63" s="1068" t="s">
        <v>915</v>
      </c>
      <c r="B63" s="1227">
        <f>B50+B40+B30+B19+B12</f>
        <v>14952</v>
      </c>
      <c r="C63" s="1001">
        <f>C50+C40+C30+C19+C12</f>
        <v>1944434</v>
      </c>
      <c r="D63" s="1260">
        <f>D50+D40+D30+D19+D12</f>
        <v>540551.30999999261</v>
      </c>
      <c r="E63" s="1217">
        <f>E50+E40+E30+E19+E12</f>
        <v>1403882.6900000076</v>
      </c>
      <c r="F63" s="1064"/>
      <c r="G63" s="1048"/>
      <c r="H63" s="1227">
        <f>SUM(H57:H62)</f>
        <v>14952</v>
      </c>
      <c r="I63" s="1069">
        <f>SUM(I57:I62)</f>
        <v>540551.31000000006</v>
      </c>
      <c r="J63" s="981"/>
      <c r="K63" s="1002">
        <f>E63/1000</f>
        <v>1403.8826900000076</v>
      </c>
      <c r="L63" s="1002">
        <f>K63*$L$6</f>
        <v>1263.4944210000069</v>
      </c>
      <c r="N63" s="1002">
        <f>SUM(N12:N50)</f>
        <v>18441.112742115547</v>
      </c>
      <c r="O63" s="1002">
        <f t="shared" ref="O63:R63" si="17">SUM(O12:O50)</f>
        <v>133592.14550529828</v>
      </c>
      <c r="P63" s="1002">
        <f t="shared" si="17"/>
        <v>313211.84044392174</v>
      </c>
      <c r="Q63" s="1002">
        <f t="shared" si="17"/>
        <v>490432.3499616615</v>
      </c>
      <c r="R63" s="1002">
        <f t="shared" si="17"/>
        <v>584869.06830702163</v>
      </c>
      <c r="S63" s="1003">
        <f t="shared" ref="S63" si="18">SUM(N63:R63)</f>
        <v>1540546.5169600188</v>
      </c>
      <c r="T63" s="1003">
        <f>SUM(T8:T62)</f>
        <v>5437258.7166103786</v>
      </c>
    </row>
    <row r="64" spans="1:20" ht="14.45" customHeight="1" thickTop="1">
      <c r="A64" s="1070"/>
      <c r="B64" s="1071"/>
      <c r="C64" s="1071"/>
      <c r="D64" s="1071"/>
      <c r="E64" s="1071"/>
      <c r="F64" s="1072"/>
      <c r="G64" s="1071"/>
      <c r="H64" s="1228"/>
      <c r="I64" s="1073"/>
    </row>
    <row r="65" spans="1:19" ht="14.45" customHeight="1">
      <c r="N65" s="1004">
        <f>18441.1127421155-N63</f>
        <v>-4.7293724492192268E-11</v>
      </c>
      <c r="O65" s="1004">
        <f>133592.145505298-O63</f>
        <v>-2.9103830456733704E-10</v>
      </c>
      <c r="P65" s="1005">
        <f>313211.840443922-P63</f>
        <v>0</v>
      </c>
      <c r="Q65" s="1004">
        <f>490432.349961662-Q63</f>
        <v>5.2386894822120667E-10</v>
      </c>
      <c r="R65" s="1005">
        <f>584869.068307022-R63</f>
        <v>0</v>
      </c>
      <c r="S65" s="1006">
        <f>1540546.51696002-S63</f>
        <v>0</v>
      </c>
    </row>
    <row r="66" spans="1:19" ht="14.45" customHeight="1">
      <c r="B66" s="989">
        <f>SUM(B53:B62)-B63</f>
        <v>0</v>
      </c>
      <c r="C66" s="989">
        <f>SUM(C53:C62)-C63</f>
        <v>0</v>
      </c>
      <c r="D66" s="989">
        <f>SUM(D53:D62)-D63</f>
        <v>0</v>
      </c>
      <c r="E66" s="989">
        <f>SUM(E53:E62)-E63</f>
        <v>0</v>
      </c>
      <c r="H66" s="1218">
        <f>+H12+H19+H30+H40+H50-H63</f>
        <v>0</v>
      </c>
      <c r="I66" s="989">
        <f>+I12+I19+I30+I40+I50-I63</f>
        <v>0</v>
      </c>
      <c r="J66" s="989"/>
      <c r="K66" s="989"/>
    </row>
    <row r="67" spans="1:19" ht="14.45" customHeight="1">
      <c r="A67" s="980"/>
      <c r="S67" s="1129"/>
    </row>
    <row r="68" spans="1:19" ht="14.45" customHeight="1">
      <c r="A68" s="980"/>
    </row>
    <row r="69" spans="1:19" ht="14.45" customHeight="1">
      <c r="A69" s="980"/>
    </row>
    <row r="70" spans="1:19" ht="14.45" customHeight="1">
      <c r="A70" s="980"/>
    </row>
    <row r="71" spans="1:19" ht="14.45" customHeight="1">
      <c r="A71" s="980"/>
    </row>
    <row r="72" spans="1:19" ht="14.45" customHeight="1">
      <c r="A72" s="980"/>
    </row>
    <row r="73" spans="1:19" ht="14.45" customHeight="1">
      <c r="A73" s="980"/>
    </row>
    <row r="74" spans="1:19" ht="14.45" customHeight="1">
      <c r="A74" s="980"/>
    </row>
    <row r="75" spans="1:19" ht="14.45" customHeight="1"/>
    <row r="76" spans="1:19" ht="14.45" customHeight="1"/>
    <row r="77" spans="1:19" ht="14.45" customHeight="1"/>
    <row r="78" spans="1:19" ht="14.45" customHeight="1"/>
    <row r="79" spans="1:19" ht="14.45" customHeight="1"/>
    <row r="80" spans="1:19" ht="14.45" customHeight="1"/>
  </sheetData>
  <mergeCells count="1">
    <mergeCell ref="A1:E1"/>
  </mergeCells>
  <pageMargins left="0.70866141732283505" right="0.70866141732283505" top="0.74803149606299202" bottom="0.74803149606299202" header="0.31496062992126" footer="0.31496062992126"/>
  <pageSetup paperSize="3" scale="64" orientation="landscape" r:id="rId1"/>
  <rowBreaks count="2" manualBreakCount="2">
    <brk id="6" max="16383" man="1"/>
    <brk id="40"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2B72-C709-41B2-9CC0-E907807520B8}">
  <sheetPr>
    <tabColor rgb="FF92D050"/>
  </sheetPr>
  <dimension ref="A1:U75"/>
  <sheetViews>
    <sheetView workbookViewId="0">
      <pane xSplit="6" ySplit="6" topLeftCell="G31" activePane="bottomRight" state="frozen"/>
      <selection activeCell="G7" sqref="G7"/>
      <selection pane="topRight" activeCell="G7" sqref="G7"/>
      <selection pane="bottomLeft" activeCell="G7" sqref="G7"/>
      <selection pane="bottomRight" activeCell="B2" sqref="B1:B1048576"/>
    </sheetView>
  </sheetViews>
  <sheetFormatPr defaultColWidth="8.7109375" defaultRowHeight="15"/>
  <cols>
    <col min="1" max="1" width="17.5703125" style="966" customWidth="1"/>
    <col min="2" max="2" width="11" style="1218" customWidth="1"/>
    <col min="3" max="3" width="13.7109375" style="966" customWidth="1"/>
    <col min="4" max="4" width="12.85546875" style="966" customWidth="1"/>
    <col min="5" max="5" width="12.5703125" style="966" customWidth="1"/>
    <col min="6" max="6" width="1.28515625" style="980" customWidth="1"/>
    <col min="7" max="7" width="6.85546875" style="966" customWidth="1"/>
    <col min="8" max="8" width="9.5703125" style="1218" bestFit="1" customWidth="1"/>
    <col min="9" max="9" width="12.28515625" style="987" customWidth="1"/>
    <col min="10" max="10" width="1.7109375" style="966" customWidth="1"/>
    <col min="11" max="11" width="11.5703125" style="966" customWidth="1"/>
    <col min="12" max="12" width="10.85546875" style="966" customWidth="1"/>
    <col min="13" max="14" width="12" style="966" customWidth="1"/>
    <col min="15" max="19" width="10.42578125" style="966" customWidth="1"/>
    <col min="20" max="20" width="11.42578125" style="966" customWidth="1"/>
    <col min="21" max="21" width="13.5703125" style="966" customWidth="1"/>
    <col min="22" max="16384" width="8.7109375" style="966"/>
  </cols>
  <sheetData>
    <row r="1" spans="1:21" ht="15.75">
      <c r="A1" s="1216" t="s">
        <v>882</v>
      </c>
      <c r="B1" s="1216"/>
      <c r="C1" s="1216"/>
      <c r="D1" s="1216"/>
      <c r="E1" s="1216"/>
    </row>
    <row r="2" spans="1:21">
      <c r="B2" s="1263"/>
      <c r="C2" s="968" t="s">
        <v>883</v>
      </c>
      <c r="D2" s="968" t="s">
        <v>884</v>
      </c>
      <c r="E2" s="968" t="s">
        <v>885</v>
      </c>
      <c r="K2" s="1007" t="s">
        <v>886</v>
      </c>
      <c r="L2" s="1008"/>
      <c r="M2" s="1008">
        <v>8.64</v>
      </c>
      <c r="N2" s="1008">
        <v>8.9700000000000006</v>
      </c>
      <c r="O2" s="1009">
        <v>10.079032258055504</v>
      </c>
      <c r="P2" s="1009">
        <v>11.505555555556203</v>
      </c>
      <c r="Q2" s="1009">
        <v>12.99</v>
      </c>
      <c r="R2" s="1009">
        <v>14.298333333339542</v>
      </c>
      <c r="S2" s="1009">
        <v>14.981182795705184</v>
      </c>
      <c r="T2" s="1010"/>
      <c r="U2" s="1011">
        <v>11.79</v>
      </c>
    </row>
    <row r="3" spans="1:21" ht="30">
      <c r="A3" s="969" t="s">
        <v>835</v>
      </c>
      <c r="B3" s="1263"/>
      <c r="C3" s="970" t="s">
        <v>887</v>
      </c>
      <c r="D3" s="1028" t="s">
        <v>888</v>
      </c>
      <c r="E3" s="968"/>
      <c r="K3" s="1012" t="s">
        <v>890</v>
      </c>
      <c r="L3" s="1013"/>
      <c r="M3" s="1029">
        <v>12.43</v>
      </c>
      <c r="N3" s="1029">
        <v>5.61</v>
      </c>
      <c r="O3" s="1014">
        <v>25.46</v>
      </c>
      <c r="P3" s="1014">
        <v>17.03</v>
      </c>
      <c r="Q3" s="1014">
        <v>0</v>
      </c>
      <c r="R3" s="1014">
        <v>9</v>
      </c>
      <c r="S3" s="1014">
        <v>0</v>
      </c>
      <c r="T3" s="1015"/>
      <c r="U3" s="1016"/>
    </row>
    <row r="4" spans="1:21">
      <c r="B4" s="1263"/>
      <c r="C4" s="974"/>
      <c r="D4" s="974"/>
      <c r="E4" s="974"/>
      <c r="G4" s="975" t="s">
        <v>891</v>
      </c>
      <c r="H4" s="1219"/>
      <c r="I4" s="976"/>
      <c r="K4" s="1017" t="s">
        <v>892</v>
      </c>
      <c r="L4" s="1018"/>
      <c r="M4" s="1030">
        <v>30</v>
      </c>
      <c r="N4" s="1030">
        <v>31</v>
      </c>
      <c r="O4" s="1019">
        <v>31</v>
      </c>
      <c r="P4" s="1019">
        <v>30</v>
      </c>
      <c r="Q4" s="1019">
        <v>31</v>
      </c>
      <c r="R4" s="1019">
        <v>30</v>
      </c>
      <c r="S4" s="1031">
        <v>31</v>
      </c>
      <c r="T4" s="1021"/>
      <c r="U4" s="1022">
        <v>365</v>
      </c>
    </row>
    <row r="5" spans="1:21" ht="60">
      <c r="A5" s="1074" t="s">
        <v>893</v>
      </c>
      <c r="B5" s="1239" t="s">
        <v>894</v>
      </c>
      <c r="C5" s="1075" t="s">
        <v>895</v>
      </c>
      <c r="D5" s="1075" t="s">
        <v>896</v>
      </c>
      <c r="E5" s="1075" t="s">
        <v>897</v>
      </c>
      <c r="F5" s="1079"/>
      <c r="G5" s="1077" t="s">
        <v>898</v>
      </c>
      <c r="H5" s="1220" t="s">
        <v>894</v>
      </c>
      <c r="I5" s="1078" t="s">
        <v>896</v>
      </c>
      <c r="K5" s="1023" t="s">
        <v>921</v>
      </c>
      <c r="L5" s="1024" t="s">
        <v>899</v>
      </c>
      <c r="M5" s="1026" t="s">
        <v>916</v>
      </c>
      <c r="N5" s="1026" t="s">
        <v>917</v>
      </c>
      <c r="O5" s="1026" t="s">
        <v>900</v>
      </c>
      <c r="P5" s="1026" t="s">
        <v>901</v>
      </c>
      <c r="Q5" s="1026" t="s">
        <v>902</v>
      </c>
      <c r="R5" s="1026" t="s">
        <v>903</v>
      </c>
      <c r="S5" s="1026" t="s">
        <v>904</v>
      </c>
      <c r="T5" s="1027" t="s">
        <v>905</v>
      </c>
      <c r="U5" s="1027" t="s">
        <v>906</v>
      </c>
    </row>
    <row r="6" spans="1:21">
      <c r="A6" s="1058"/>
      <c r="B6" s="1059"/>
      <c r="C6" s="1042"/>
      <c r="D6" s="1042"/>
      <c r="E6" s="1042"/>
      <c r="F6" s="1080"/>
      <c r="G6" s="1037"/>
      <c r="H6" s="1232"/>
      <c r="I6" s="1081"/>
      <c r="L6" s="985">
        <v>0.9</v>
      </c>
      <c r="T6" s="1041"/>
      <c r="U6" s="1104"/>
    </row>
    <row r="7" spans="1:21">
      <c r="A7" s="1050" t="s">
        <v>907</v>
      </c>
      <c r="B7" s="1059"/>
      <c r="C7" s="1047"/>
      <c r="D7" s="1047"/>
      <c r="E7" s="1037"/>
      <c r="F7" s="1080"/>
      <c r="G7" s="1037"/>
      <c r="H7" s="1232"/>
      <c r="I7" s="1081"/>
      <c r="T7" s="1041"/>
      <c r="U7" s="1104"/>
    </row>
    <row r="8" spans="1:21">
      <c r="A8" s="1051">
        <v>91</v>
      </c>
      <c r="B8" s="1232">
        <v>585</v>
      </c>
      <c r="C8" s="1082">
        <v>53235</v>
      </c>
      <c r="D8" s="1083">
        <v>17198.999999999898</v>
      </c>
      <c r="E8" s="1083">
        <v>36035.999999999607</v>
      </c>
      <c r="F8" s="1080"/>
      <c r="G8" s="1037"/>
      <c r="H8" s="1232"/>
      <c r="I8" s="1081"/>
      <c r="T8" s="1041"/>
      <c r="U8" s="1104"/>
    </row>
    <row r="9" spans="1:21">
      <c r="A9" s="1051">
        <v>130</v>
      </c>
      <c r="B9" s="1232">
        <v>188</v>
      </c>
      <c r="C9" s="1082">
        <v>24440</v>
      </c>
      <c r="D9" s="1083">
        <v>5527.1999999999916</v>
      </c>
      <c r="E9" s="1083">
        <v>18912.800000000003</v>
      </c>
      <c r="F9" s="1080"/>
      <c r="G9" s="1037"/>
      <c r="H9" s="1232"/>
      <c r="I9" s="1081"/>
      <c r="T9" s="1041"/>
      <c r="U9" s="1104"/>
    </row>
    <row r="10" spans="1:21" ht="14.25" customHeight="1">
      <c r="A10" s="1051">
        <v>196</v>
      </c>
      <c r="B10" s="1222">
        <v>1</v>
      </c>
      <c r="C10" s="1082">
        <v>196</v>
      </c>
      <c r="D10" s="1084">
        <v>29.4</v>
      </c>
      <c r="E10" s="1083">
        <v>166.6</v>
      </c>
      <c r="F10" s="1080"/>
      <c r="G10" s="1037">
        <v>29.4</v>
      </c>
      <c r="H10" s="1232">
        <v>774</v>
      </c>
      <c r="I10" s="1081">
        <f>H10*G10</f>
        <v>22755.599999999999</v>
      </c>
      <c r="T10" s="1041"/>
      <c r="U10" s="1104"/>
    </row>
    <row r="11" spans="1:21">
      <c r="A11" s="1051">
        <v>215</v>
      </c>
      <c r="B11" s="1232"/>
      <c r="C11" s="1082"/>
      <c r="D11" s="1083"/>
      <c r="E11" s="1083"/>
      <c r="F11" s="1080"/>
      <c r="G11" s="1037"/>
      <c r="H11" s="1232"/>
      <c r="I11" s="1081"/>
      <c r="T11" s="1041"/>
      <c r="U11" s="1104"/>
    </row>
    <row r="12" spans="1:21">
      <c r="A12" s="1051">
        <v>246</v>
      </c>
      <c r="B12" s="1222"/>
      <c r="C12" s="1082"/>
      <c r="D12" s="1084"/>
      <c r="E12" s="1083"/>
      <c r="F12" s="1080"/>
      <c r="G12" s="1037"/>
      <c r="H12" s="1232"/>
      <c r="I12" s="1081"/>
      <c r="T12" s="1041"/>
      <c r="U12" s="1104"/>
    </row>
    <row r="13" spans="1:21">
      <c r="A13" s="1051">
        <v>480</v>
      </c>
      <c r="B13" s="1232"/>
      <c r="C13" s="1032"/>
      <c r="D13" s="1083"/>
      <c r="E13" s="1083"/>
      <c r="F13" s="1080"/>
      <c r="G13" s="1037"/>
      <c r="H13" s="1232"/>
      <c r="I13" s="1081"/>
      <c r="T13" s="1041"/>
      <c r="U13" s="1104"/>
    </row>
    <row r="14" spans="1:21">
      <c r="A14" s="1058" t="s">
        <v>909</v>
      </c>
      <c r="B14" s="1248">
        <f>SUM(B8:B13)</f>
        <v>774</v>
      </c>
      <c r="C14" s="1033">
        <f>SUM(C8:C13)</f>
        <v>77871</v>
      </c>
      <c r="D14" s="1033">
        <f>SUM(D8:D13)</f>
        <v>22755.599999999889</v>
      </c>
      <c r="E14" s="1033">
        <f>SUM(E8:E13)</f>
        <v>55115.399999999609</v>
      </c>
      <c r="F14" s="1080"/>
      <c r="G14" s="1037"/>
      <c r="H14" s="1233">
        <f>SUM(H10:H13)</f>
        <v>774</v>
      </c>
      <c r="I14" s="1085">
        <f>SUM(I10:I13)</f>
        <v>22755.599999999999</v>
      </c>
      <c r="K14" s="993">
        <f>E14/1000</f>
        <v>55.11539999999961</v>
      </c>
      <c r="L14" s="993">
        <f>K14*$L$6</f>
        <v>49.603859999999649</v>
      </c>
      <c r="M14" s="994">
        <f>$L14*M$2*M$3</f>
        <v>5327.2164654719627</v>
      </c>
      <c r="N14" s="1035">
        <f>$L14*N$2*N$4</f>
        <v>13793.345350199905</v>
      </c>
      <c r="O14" s="1035">
        <f t="shared" ref="O14:S14" si="0">$L14*O$2*O$4</f>
        <v>15498.726056986032</v>
      </c>
      <c r="P14" s="1035">
        <f t="shared" si="0"/>
        <v>17121.599010000842</v>
      </c>
      <c r="Q14" s="1035">
        <f t="shared" si="0"/>
        <v>19974.978383399859</v>
      </c>
      <c r="R14" s="1035">
        <f t="shared" si="0"/>
        <v>21277.57574700909</v>
      </c>
      <c r="S14" s="1035">
        <f t="shared" si="0"/>
        <v>23036.859315009464</v>
      </c>
      <c r="T14" s="1103">
        <f>SUM(M14:S14)</f>
        <v>116030.30032807715</v>
      </c>
      <c r="U14" s="996">
        <f>$L14*$U$2*$U$4</f>
        <v>213462.77093099846</v>
      </c>
    </row>
    <row r="15" spans="1:21">
      <c r="A15" s="1046"/>
      <c r="B15" s="1059"/>
      <c r="C15" s="1047"/>
      <c r="D15" s="1047"/>
      <c r="E15" s="1037"/>
      <c r="F15" s="1080"/>
      <c r="G15" s="1037"/>
      <c r="H15" s="1232"/>
      <c r="I15" s="1081"/>
      <c r="T15" s="1041"/>
      <c r="U15" s="1104"/>
    </row>
    <row r="16" spans="1:21">
      <c r="A16" s="1050" t="s">
        <v>907</v>
      </c>
      <c r="B16" s="1059"/>
      <c r="C16" s="1047"/>
      <c r="D16" s="1047"/>
      <c r="E16" s="1037"/>
      <c r="F16" s="1080"/>
      <c r="G16" s="1037"/>
      <c r="H16" s="1232"/>
      <c r="I16" s="1081"/>
      <c r="T16" s="1041"/>
      <c r="U16" s="1104"/>
    </row>
    <row r="17" spans="1:21">
      <c r="A17" s="1051">
        <v>91</v>
      </c>
      <c r="B17" s="1232">
        <v>113</v>
      </c>
      <c r="C17" s="1082">
        <v>10283</v>
      </c>
      <c r="D17" s="1086">
        <v>3322.2000000000066</v>
      </c>
      <c r="E17" s="1086">
        <v>6960.8000000000129</v>
      </c>
      <c r="F17" s="1080"/>
      <c r="G17" s="1037"/>
      <c r="H17" s="1232"/>
      <c r="I17" s="1081"/>
      <c r="T17" s="1041"/>
      <c r="U17" s="1104"/>
    </row>
    <row r="18" spans="1:21">
      <c r="A18" s="1051">
        <v>130</v>
      </c>
      <c r="B18" s="1232">
        <v>187</v>
      </c>
      <c r="C18" s="1082">
        <v>24310</v>
      </c>
      <c r="D18" s="1086">
        <v>5625.1999999999971</v>
      </c>
      <c r="E18" s="1086">
        <v>18684.800000000025</v>
      </c>
      <c r="F18" s="1080"/>
      <c r="G18" s="1037"/>
      <c r="H18" s="1232"/>
      <c r="I18" s="1081"/>
      <c r="T18" s="1041"/>
      <c r="U18" s="1104"/>
    </row>
    <row r="19" spans="1:21">
      <c r="A19" s="1051">
        <v>196</v>
      </c>
      <c r="B19" s="1222">
        <v>64</v>
      </c>
      <c r="C19" s="1082">
        <v>12544</v>
      </c>
      <c r="D19" s="1087">
        <v>2200.0999999999995</v>
      </c>
      <c r="E19" s="1086">
        <v>10343.900000000001</v>
      </c>
      <c r="F19" s="1080"/>
      <c r="G19" s="1088">
        <v>29.4</v>
      </c>
      <c r="H19" s="1234">
        <v>315</v>
      </c>
      <c r="I19" s="1081">
        <f t="shared" ref="I19:I20" si="1">H19*G19</f>
        <v>9261</v>
      </c>
      <c r="T19" s="1041"/>
      <c r="U19" s="1104"/>
    </row>
    <row r="20" spans="1:21">
      <c r="A20" s="1051">
        <v>215</v>
      </c>
      <c r="B20" s="1232">
        <v>1</v>
      </c>
      <c r="C20" s="1082">
        <v>215</v>
      </c>
      <c r="D20" s="1086">
        <v>38.5</v>
      </c>
      <c r="E20" s="1086">
        <v>176.5</v>
      </c>
      <c r="F20" s="1080"/>
      <c r="G20" s="1088">
        <v>38.5</v>
      </c>
      <c r="H20" s="1234">
        <v>50</v>
      </c>
      <c r="I20" s="1081">
        <f t="shared" si="1"/>
        <v>1925</v>
      </c>
      <c r="T20" s="1041"/>
      <c r="U20" s="1104"/>
    </row>
    <row r="21" spans="1:21">
      <c r="A21" s="1051">
        <v>246</v>
      </c>
      <c r="B21" s="1222"/>
      <c r="C21" s="1082"/>
      <c r="D21" s="1087"/>
      <c r="E21" s="1086"/>
      <c r="F21" s="1080"/>
      <c r="G21" s="1037"/>
      <c r="H21" s="1232"/>
      <c r="I21" s="1081"/>
      <c r="T21" s="1041"/>
      <c r="U21" s="1104"/>
    </row>
    <row r="22" spans="1:21">
      <c r="A22" s="1051">
        <v>480</v>
      </c>
      <c r="B22" s="1232"/>
      <c r="C22" s="1086"/>
      <c r="D22" s="1086"/>
      <c r="E22" s="1086">
        <f>C22-D22</f>
        <v>0</v>
      </c>
      <c r="F22" s="1080"/>
      <c r="G22" s="1037"/>
      <c r="H22" s="1232"/>
      <c r="I22" s="1081"/>
      <c r="T22" s="1041"/>
      <c r="U22" s="1104"/>
    </row>
    <row r="23" spans="1:21">
      <c r="A23" s="1058" t="s">
        <v>910</v>
      </c>
      <c r="B23" s="1248">
        <f>SUM(B17:B22)</f>
        <v>365</v>
      </c>
      <c r="C23" s="1036">
        <f>SUM(C17:C22)</f>
        <v>47352</v>
      </c>
      <c r="D23" s="1036">
        <f>SUM(D17:D22)</f>
        <v>11186.000000000004</v>
      </c>
      <c r="E23" s="1036">
        <f>SUM(E17:E22)</f>
        <v>36166.000000000044</v>
      </c>
      <c r="F23" s="1080"/>
      <c r="G23" s="1037"/>
      <c r="H23" s="1233">
        <f>SUM(H19:H22)</f>
        <v>365</v>
      </c>
      <c r="I23" s="1085">
        <f>SUM(I19:I22)</f>
        <v>11186</v>
      </c>
      <c r="K23" s="993">
        <f>E23/1000</f>
        <v>36.166000000000047</v>
      </c>
      <c r="L23" s="993">
        <f>K23*$L$6</f>
        <v>32.549400000000041</v>
      </c>
      <c r="M23" s="994"/>
      <c r="N23" s="994">
        <f>$L23*N$2*N$3</f>
        <v>1637.9411419800024</v>
      </c>
      <c r="O23" s="1035">
        <f>$L23*O$2*O$4</f>
        <v>10170.06002999092</v>
      </c>
      <c r="P23" s="1035">
        <f t="shared" ref="P23:S23" si="2">$L23*P$2*P$4</f>
        <v>11234.967900000647</v>
      </c>
      <c r="Q23" s="1035">
        <f t="shared" si="2"/>
        <v>13107.317886000015</v>
      </c>
      <c r="R23" s="1035">
        <f t="shared" si="2"/>
        <v>13962.06513000608</v>
      </c>
      <c r="S23" s="1035">
        <f t="shared" si="2"/>
        <v>15116.483850006336</v>
      </c>
      <c r="T23" s="1103">
        <f>SUM(M23:S23)</f>
        <v>65228.835937983997</v>
      </c>
      <c r="U23" s="996">
        <f>$L23*$U$2*$U$4</f>
        <v>140071.46049000017</v>
      </c>
    </row>
    <row r="24" spans="1:21">
      <c r="A24" s="1046"/>
      <c r="B24" s="1059"/>
      <c r="C24" s="1047"/>
      <c r="D24" s="1047"/>
      <c r="E24" s="1037"/>
      <c r="F24" s="1080"/>
      <c r="G24" s="1037"/>
      <c r="H24" s="1232"/>
      <c r="I24" s="1081"/>
      <c r="T24" s="1041"/>
      <c r="U24" s="1104"/>
    </row>
    <row r="25" spans="1:21">
      <c r="A25" s="1050" t="s">
        <v>907</v>
      </c>
      <c r="B25" s="1059"/>
      <c r="C25" s="1047"/>
      <c r="D25" s="1047"/>
      <c r="E25" s="1037"/>
      <c r="F25" s="1080"/>
      <c r="G25" s="1037"/>
      <c r="H25" s="1232"/>
      <c r="I25" s="1081"/>
      <c r="T25" s="1041"/>
      <c r="U25" s="1104"/>
    </row>
    <row r="26" spans="1:21" ht="15.75" customHeight="1">
      <c r="A26" s="1051">
        <v>91</v>
      </c>
      <c r="B26" s="1232">
        <v>106</v>
      </c>
      <c r="C26" s="1082">
        <v>9646</v>
      </c>
      <c r="D26" s="1083">
        <v>3116.400000000006</v>
      </c>
      <c r="E26" s="1083">
        <v>6529.6000000000104</v>
      </c>
      <c r="F26" s="1080"/>
      <c r="G26" s="1037"/>
      <c r="H26" s="1232"/>
      <c r="I26" s="1081"/>
      <c r="T26" s="1041"/>
      <c r="U26" s="1104"/>
    </row>
    <row r="27" spans="1:21" ht="15.75" customHeight="1">
      <c r="A27" s="1051">
        <v>130</v>
      </c>
      <c r="B27" s="1232">
        <v>123</v>
      </c>
      <c r="C27" s="1082">
        <v>15990</v>
      </c>
      <c r="D27" s="1083">
        <v>3616.2000000000075</v>
      </c>
      <c r="E27" s="1083">
        <v>12373.800000000027</v>
      </c>
      <c r="F27" s="1080"/>
      <c r="G27" s="1037"/>
      <c r="H27" s="1232"/>
      <c r="I27" s="1081"/>
      <c r="T27" s="1041"/>
      <c r="U27" s="1104"/>
    </row>
    <row r="28" spans="1:21" ht="15.75" customHeight="1">
      <c r="A28" s="1051">
        <v>196</v>
      </c>
      <c r="B28" s="1222">
        <v>21</v>
      </c>
      <c r="C28" s="1082">
        <v>4116</v>
      </c>
      <c r="D28" s="1084">
        <v>656.0899999999998</v>
      </c>
      <c r="E28" s="1083">
        <v>3459.9099999999989</v>
      </c>
      <c r="F28" s="1080"/>
      <c r="G28" s="1037"/>
      <c r="H28" s="1232"/>
      <c r="I28" s="1081"/>
      <c r="T28" s="1041"/>
      <c r="U28" s="1104"/>
    </row>
    <row r="29" spans="1:21" ht="15.75" customHeight="1">
      <c r="A29" s="1051">
        <v>215</v>
      </c>
      <c r="B29" s="1232"/>
      <c r="C29" s="1082"/>
      <c r="D29" s="1083"/>
      <c r="E29" s="1083"/>
      <c r="F29" s="1080"/>
      <c r="G29" s="1037"/>
      <c r="H29" s="1232"/>
      <c r="I29" s="1081"/>
      <c r="T29" s="1041"/>
      <c r="U29" s="1104"/>
    </row>
    <row r="30" spans="1:21" ht="15.75" customHeight="1">
      <c r="A30" s="1051">
        <v>246</v>
      </c>
      <c r="B30" s="1232">
        <v>2</v>
      </c>
      <c r="C30" s="1082">
        <v>492</v>
      </c>
      <c r="D30" s="1083">
        <v>58.8</v>
      </c>
      <c r="E30" s="1083">
        <v>433.2</v>
      </c>
      <c r="F30" s="1080"/>
      <c r="G30" s="1088">
        <v>29.4</v>
      </c>
      <c r="H30" s="1234">
        <v>251</v>
      </c>
      <c r="I30" s="1081">
        <f t="shared" ref="I30:I31" si="3">H30*G30</f>
        <v>7379.4</v>
      </c>
      <c r="T30" s="1041"/>
      <c r="U30" s="1104"/>
    </row>
    <row r="31" spans="1:21" ht="15.75" customHeight="1">
      <c r="A31" s="1051">
        <v>480</v>
      </c>
      <c r="B31" s="1232"/>
      <c r="C31" s="1083"/>
      <c r="D31" s="1083"/>
      <c r="E31" s="1083">
        <f>C31-D31</f>
        <v>0</v>
      </c>
      <c r="F31" s="1080"/>
      <c r="G31" s="1088">
        <v>68.09</v>
      </c>
      <c r="H31" s="1234">
        <v>1</v>
      </c>
      <c r="I31" s="1081">
        <f t="shared" si="3"/>
        <v>68.09</v>
      </c>
      <c r="T31" s="1041"/>
      <c r="U31" s="1104"/>
    </row>
    <row r="32" spans="1:21">
      <c r="A32" s="1058" t="s">
        <v>911</v>
      </c>
      <c r="B32" s="1248">
        <f>SUM(B26:B31)</f>
        <v>252</v>
      </c>
      <c r="C32" s="1033">
        <f>SUM(C26:C31)</f>
        <v>30244</v>
      </c>
      <c r="D32" s="1033">
        <f>SUM(D26:D31)</f>
        <v>7447.4900000000134</v>
      </c>
      <c r="E32" s="1033">
        <f>SUM(E26:E31)</f>
        <v>22796.510000000038</v>
      </c>
      <c r="F32" s="1080"/>
      <c r="G32" s="1037"/>
      <c r="H32" s="1233">
        <f>SUM(H29:H31)</f>
        <v>252</v>
      </c>
      <c r="I32" s="1085">
        <f>SUM(I29:I31)</f>
        <v>7447.49</v>
      </c>
      <c r="K32" s="993">
        <f>E32/1000</f>
        <v>22.796510000000037</v>
      </c>
      <c r="L32" s="993">
        <f>K32*$L$6</f>
        <v>20.516859000000032</v>
      </c>
      <c r="M32" s="994"/>
      <c r="N32" s="994"/>
      <c r="O32" s="994">
        <f>$L32*O$2*O$3</f>
        <v>5264.8755308741074</v>
      </c>
      <c r="P32" s="1035">
        <f t="shared" ref="P32:S32" si="4">$L32*P$2*P$4</f>
        <v>7081.7358315004094</v>
      </c>
      <c r="Q32" s="1035">
        <f t="shared" si="4"/>
        <v>8261.9339507100121</v>
      </c>
      <c r="R32" s="1035">
        <f t="shared" si="4"/>
        <v>8800.7066680538355</v>
      </c>
      <c r="S32" s="1035">
        <f t="shared" si="4"/>
        <v>9528.371267253995</v>
      </c>
      <c r="T32" s="1103">
        <f>SUM(M32:S32)</f>
        <v>38937.623248392352</v>
      </c>
      <c r="U32" s="996">
        <f>$L32*$U$2*$U$4</f>
        <v>88291.225177650136</v>
      </c>
    </row>
    <row r="33" spans="1:21">
      <c r="A33" s="1046"/>
      <c r="B33" s="1059"/>
      <c r="C33" s="1047"/>
      <c r="D33" s="1047"/>
      <c r="E33" s="1037"/>
      <c r="F33" s="1080"/>
      <c r="G33" s="1037"/>
      <c r="H33" s="1232"/>
      <c r="I33" s="1081"/>
      <c r="T33" s="1041"/>
      <c r="U33" s="1104"/>
    </row>
    <row r="34" spans="1:21">
      <c r="A34" s="1050" t="s">
        <v>907</v>
      </c>
      <c r="B34" s="1059"/>
      <c r="C34" s="1047"/>
      <c r="D34" s="1047"/>
      <c r="E34" s="1037"/>
      <c r="F34" s="1080"/>
      <c r="G34" s="1037"/>
      <c r="H34" s="1232"/>
      <c r="I34" s="1081"/>
      <c r="T34" s="1041"/>
      <c r="U34" s="1104"/>
    </row>
    <row r="35" spans="1:21">
      <c r="A35" s="1051">
        <v>91</v>
      </c>
      <c r="B35" s="1232">
        <v>23</v>
      </c>
      <c r="C35" s="1082">
        <v>2093</v>
      </c>
      <c r="D35" s="1083">
        <v>676.1999999999997</v>
      </c>
      <c r="E35" s="1083">
        <v>1416.7999999999997</v>
      </c>
      <c r="F35" s="1080"/>
      <c r="G35" s="1037"/>
      <c r="H35" s="1232"/>
      <c r="I35" s="1081"/>
      <c r="T35" s="1041"/>
      <c r="U35" s="1104"/>
    </row>
    <row r="36" spans="1:21">
      <c r="A36" s="1051">
        <v>130</v>
      </c>
      <c r="B36" s="1232">
        <v>37</v>
      </c>
      <c r="C36" s="1082">
        <v>4810</v>
      </c>
      <c r="D36" s="1083">
        <v>1087.7999999999997</v>
      </c>
      <c r="E36" s="1083">
        <v>3722.199999999998</v>
      </c>
      <c r="F36" s="1080"/>
      <c r="G36" s="1037"/>
      <c r="H36" s="1232"/>
      <c r="I36" s="1081"/>
      <c r="T36" s="1041"/>
      <c r="U36" s="1104"/>
    </row>
    <row r="37" spans="1:21">
      <c r="A37" s="1051">
        <v>196</v>
      </c>
      <c r="B37" s="1222">
        <v>6</v>
      </c>
      <c r="C37" s="1082">
        <v>1176</v>
      </c>
      <c r="D37" s="1084">
        <v>194.6</v>
      </c>
      <c r="E37" s="1083">
        <v>981.4</v>
      </c>
      <c r="F37" s="1080"/>
      <c r="G37" s="1037"/>
      <c r="H37" s="1232"/>
      <c r="I37" s="1081"/>
      <c r="T37" s="1041"/>
      <c r="U37" s="1104"/>
    </row>
    <row r="38" spans="1:21" ht="0.95" customHeight="1">
      <c r="A38" s="1051">
        <v>215</v>
      </c>
      <c r="B38" s="1232"/>
      <c r="C38" s="1082"/>
      <c r="D38" s="1083"/>
      <c r="E38" s="1083"/>
      <c r="F38" s="1080"/>
      <c r="G38" s="1037"/>
      <c r="H38" s="1232"/>
      <c r="I38" s="1081"/>
      <c r="T38" s="1041"/>
      <c r="U38" s="1104"/>
    </row>
    <row r="39" spans="1:21">
      <c r="A39" s="1051">
        <v>290</v>
      </c>
      <c r="B39" s="1222">
        <v>1</v>
      </c>
      <c r="C39" s="1082">
        <v>290</v>
      </c>
      <c r="D39" s="1084">
        <v>38.5</v>
      </c>
      <c r="E39" s="1083">
        <v>251.5</v>
      </c>
      <c r="F39" s="1080"/>
      <c r="G39" s="1088">
        <v>29.4</v>
      </c>
      <c r="H39" s="1234">
        <v>66</v>
      </c>
      <c r="I39" s="1081">
        <f t="shared" ref="I39:I40" si="5">H39*G39</f>
        <v>1940.3999999999999</v>
      </c>
      <c r="T39" s="1041"/>
      <c r="U39" s="1104"/>
    </row>
    <row r="40" spans="1:21">
      <c r="A40" s="1051">
        <v>480</v>
      </c>
      <c r="B40" s="1232">
        <v>2</v>
      </c>
      <c r="C40" s="1083">
        <v>960</v>
      </c>
      <c r="D40" s="1083">
        <v>58.8</v>
      </c>
      <c r="E40" s="1083">
        <v>901.2</v>
      </c>
      <c r="F40" s="1080"/>
      <c r="G40" s="1088">
        <v>38.5</v>
      </c>
      <c r="H40" s="1234">
        <v>3</v>
      </c>
      <c r="I40" s="1081">
        <f t="shared" si="5"/>
        <v>115.5</v>
      </c>
      <c r="T40" s="1041"/>
      <c r="U40" s="1104"/>
    </row>
    <row r="41" spans="1:21">
      <c r="A41" s="1058" t="s">
        <v>912</v>
      </c>
      <c r="B41" s="1248">
        <f>SUM(B35:B40)</f>
        <v>69</v>
      </c>
      <c r="C41" s="1033">
        <f>SUM(C35:C40)</f>
        <v>9329</v>
      </c>
      <c r="D41" s="1033">
        <f>SUM(D35:D40)</f>
        <v>2055.8999999999996</v>
      </c>
      <c r="E41" s="1033">
        <f>SUM(E35:E40)</f>
        <v>7273.0999999999976</v>
      </c>
      <c r="F41" s="1080"/>
      <c r="G41" s="1037"/>
      <c r="H41" s="1233">
        <f>SUM(H38:H40)</f>
        <v>69</v>
      </c>
      <c r="I41" s="1085">
        <f>SUM(I38:I40)</f>
        <v>2055.8999999999996</v>
      </c>
      <c r="K41" s="993">
        <f>E41/1000</f>
        <v>7.2730999999999977</v>
      </c>
      <c r="L41" s="993">
        <f>K41*$L$6</f>
        <v>6.5457899999999984</v>
      </c>
      <c r="M41" s="994"/>
      <c r="N41" s="994"/>
      <c r="O41" s="994"/>
      <c r="P41" s="994">
        <f>$L41*P$2*P$3</f>
        <v>1282.579547015072</v>
      </c>
      <c r="Q41" s="1035">
        <f t="shared" ref="Q41:S41" si="6">$L41*Q$2*Q$4</f>
        <v>2635.9241750999995</v>
      </c>
      <c r="R41" s="1035">
        <f t="shared" si="6"/>
        <v>2807.8166205012185</v>
      </c>
      <c r="S41" s="1035">
        <f t="shared" si="6"/>
        <v>3039.9739725012696</v>
      </c>
      <c r="T41" s="1103">
        <f>SUM(M41:S41)</f>
        <v>9766.2943151175605</v>
      </c>
      <c r="U41" s="996">
        <f>$L41*$U$2*$U$4</f>
        <v>28168.825396499993</v>
      </c>
    </row>
    <row r="42" spans="1:21">
      <c r="A42" s="1046"/>
      <c r="B42" s="1059"/>
      <c r="C42" s="1047"/>
      <c r="D42" s="1047"/>
      <c r="E42" s="1037"/>
      <c r="F42" s="1080"/>
      <c r="G42" s="1037"/>
      <c r="H42" s="1232"/>
      <c r="I42" s="1081"/>
      <c r="T42" s="1041"/>
      <c r="U42" s="1104"/>
    </row>
    <row r="43" spans="1:21">
      <c r="A43" s="1050" t="s">
        <v>908</v>
      </c>
      <c r="B43" s="1059"/>
      <c r="C43" s="1047"/>
      <c r="D43" s="1047"/>
      <c r="E43" s="1037"/>
      <c r="F43" s="1080"/>
      <c r="G43" s="1037"/>
      <c r="H43" s="1232"/>
      <c r="I43" s="1081"/>
      <c r="T43" s="1041"/>
      <c r="U43" s="1104"/>
    </row>
    <row r="44" spans="1:21">
      <c r="A44" s="1051">
        <v>91</v>
      </c>
      <c r="B44" s="1235"/>
      <c r="C44" s="1090"/>
      <c r="D44" s="1089"/>
      <c r="E44" s="1089"/>
      <c r="F44" s="1080"/>
      <c r="G44" s="1037"/>
      <c r="H44" s="1232"/>
      <c r="I44" s="1081"/>
      <c r="T44" s="1041"/>
      <c r="U44" s="1104"/>
    </row>
    <row r="45" spans="1:21">
      <c r="A45" s="1051">
        <v>130</v>
      </c>
      <c r="B45" s="1235"/>
      <c r="C45" s="1090"/>
      <c r="D45" s="1089"/>
      <c r="E45" s="1089"/>
      <c r="F45" s="1080"/>
      <c r="G45" s="1037"/>
      <c r="H45" s="1232"/>
      <c r="I45" s="1081"/>
      <c r="T45" s="1041"/>
      <c r="U45" s="1104"/>
    </row>
    <row r="46" spans="1:21">
      <c r="A46" s="1051">
        <v>196</v>
      </c>
      <c r="B46" s="1226"/>
      <c r="C46" s="1090"/>
      <c r="D46" s="1091"/>
      <c r="E46" s="1089"/>
      <c r="F46" s="1080"/>
      <c r="G46" s="1037"/>
      <c r="H46" s="1232"/>
      <c r="I46" s="1081"/>
      <c r="T46" s="1041"/>
      <c r="U46" s="1104"/>
    </row>
    <row r="47" spans="1:21">
      <c r="A47" s="1051">
        <v>215</v>
      </c>
      <c r="B47" s="1235"/>
      <c r="C47" s="1090"/>
      <c r="D47" s="1089"/>
      <c r="E47" s="1089"/>
      <c r="F47" s="1080"/>
      <c r="G47" s="1037"/>
      <c r="H47" s="1232"/>
      <c r="I47" s="1081"/>
      <c r="T47" s="1041"/>
      <c r="U47" s="1104"/>
    </row>
    <row r="48" spans="1:21">
      <c r="A48" s="1051">
        <v>246</v>
      </c>
      <c r="B48" s="1226"/>
      <c r="C48" s="1090"/>
      <c r="D48" s="1091"/>
      <c r="E48" s="1089"/>
      <c r="F48" s="1080"/>
      <c r="G48" s="1037"/>
      <c r="H48" s="1232"/>
      <c r="I48" s="1081"/>
      <c r="T48" s="1041"/>
      <c r="U48" s="1104"/>
    </row>
    <row r="49" spans="1:21">
      <c r="A49" s="1051">
        <v>480</v>
      </c>
      <c r="B49" s="1235"/>
      <c r="C49" s="1089"/>
      <c r="D49" s="1089"/>
      <c r="E49" s="1089">
        <f>C49-D49</f>
        <v>0</v>
      </c>
      <c r="F49" s="1080"/>
      <c r="G49" s="1037"/>
      <c r="H49" s="1232"/>
      <c r="I49" s="1081"/>
      <c r="T49" s="1041"/>
      <c r="U49" s="1104"/>
    </row>
    <row r="50" spans="1:21">
      <c r="A50" s="1058" t="s">
        <v>913</v>
      </c>
      <c r="B50" s="1248">
        <f>SUM(B44:B49)</f>
        <v>0</v>
      </c>
      <c r="C50" s="984">
        <f>SUM(C44:C49)</f>
        <v>0</v>
      </c>
      <c r="D50" s="984">
        <f>SUM(D44:D49)</f>
        <v>0</v>
      </c>
      <c r="E50" s="984">
        <f>SUM(E44:E49)</f>
        <v>0</v>
      </c>
      <c r="F50" s="1080"/>
      <c r="G50" s="1037"/>
      <c r="H50" s="1233">
        <f>SUM(H47:H49)</f>
        <v>0</v>
      </c>
      <c r="I50" s="1092">
        <f>SUM(I47:I49)</f>
        <v>0</v>
      </c>
      <c r="K50" s="1034"/>
      <c r="L50" s="1034"/>
      <c r="M50" s="994"/>
      <c r="N50" s="994"/>
      <c r="O50" s="994"/>
      <c r="P50" s="994"/>
      <c r="Q50" s="994"/>
      <c r="R50" s="994"/>
      <c r="S50" s="994"/>
      <c r="T50" s="1100"/>
      <c r="U50" s="1105"/>
    </row>
    <row r="51" spans="1:21">
      <c r="A51" s="1046"/>
      <c r="B51" s="1059"/>
      <c r="C51" s="1047"/>
      <c r="D51" s="1047"/>
      <c r="E51" s="1037"/>
      <c r="F51" s="1080"/>
      <c r="G51" s="1037"/>
      <c r="H51" s="1232"/>
      <c r="I51" s="1081"/>
      <c r="T51" s="1041"/>
      <c r="U51" s="1104"/>
    </row>
    <row r="52" spans="1:21">
      <c r="A52" s="1050" t="s">
        <v>907</v>
      </c>
      <c r="B52" s="1059"/>
      <c r="C52" s="1047"/>
      <c r="D52" s="1047"/>
      <c r="E52" s="1037"/>
      <c r="F52" s="1080"/>
      <c r="G52" s="1037"/>
      <c r="H52" s="1232"/>
      <c r="I52" s="1081"/>
      <c r="T52" s="1041"/>
      <c r="U52" s="1104"/>
    </row>
    <row r="53" spans="1:21">
      <c r="A53" s="1051">
        <v>91</v>
      </c>
      <c r="B53" s="1232">
        <v>2</v>
      </c>
      <c r="C53" s="1052">
        <v>182</v>
      </c>
      <c r="D53" s="1052">
        <v>58.8</v>
      </c>
      <c r="E53" s="1083">
        <v>123.2</v>
      </c>
      <c r="F53" s="1080"/>
      <c r="G53" s="1037"/>
      <c r="H53" s="1232"/>
      <c r="I53" s="1081"/>
      <c r="T53" s="1041"/>
      <c r="U53" s="1104"/>
    </row>
    <row r="54" spans="1:21">
      <c r="A54" s="1051">
        <v>130</v>
      </c>
      <c r="B54" s="1232">
        <v>1</v>
      </c>
      <c r="C54" s="1052">
        <v>130</v>
      </c>
      <c r="D54" s="1052">
        <v>29.4</v>
      </c>
      <c r="E54" s="1083">
        <v>100.6</v>
      </c>
      <c r="F54" s="1080"/>
      <c r="G54" s="1037"/>
      <c r="H54" s="1232"/>
      <c r="I54" s="1081"/>
      <c r="T54" s="1041"/>
      <c r="U54" s="1104"/>
    </row>
    <row r="55" spans="1:21">
      <c r="A55" s="1051">
        <v>196</v>
      </c>
      <c r="B55" s="1232">
        <v>2</v>
      </c>
      <c r="C55" s="1052">
        <v>392</v>
      </c>
      <c r="D55" s="1052">
        <v>58.8</v>
      </c>
      <c r="E55" s="1083">
        <v>333.2</v>
      </c>
      <c r="F55" s="1080"/>
      <c r="G55" s="1088">
        <v>29.4</v>
      </c>
      <c r="H55" s="1234">
        <v>5</v>
      </c>
      <c r="I55" s="1081">
        <f t="shared" ref="I55" si="7">H55*G55</f>
        <v>147</v>
      </c>
      <c r="T55" s="1041"/>
      <c r="U55" s="1104"/>
    </row>
    <row r="56" spans="1:21">
      <c r="A56" s="1051">
        <v>196</v>
      </c>
      <c r="B56" s="1232"/>
      <c r="C56" s="1052"/>
      <c r="D56" s="1052"/>
      <c r="E56" s="1083">
        <f t="shared" ref="E56:E57" si="8">C56-D56</f>
        <v>0</v>
      </c>
      <c r="F56" s="1080"/>
      <c r="G56" s="1037"/>
      <c r="H56" s="1232"/>
      <c r="I56" s="1081"/>
      <c r="T56" s="1041"/>
      <c r="U56" s="1104"/>
    </row>
    <row r="57" spans="1:21">
      <c r="A57" s="1051">
        <v>225</v>
      </c>
      <c r="B57" s="1232"/>
      <c r="C57" s="1052"/>
      <c r="D57" s="1052"/>
      <c r="E57" s="1083">
        <f t="shared" si="8"/>
        <v>0</v>
      </c>
      <c r="F57" s="1080"/>
      <c r="G57" s="1037"/>
      <c r="H57" s="1232"/>
      <c r="I57" s="1081"/>
      <c r="T57" s="1041"/>
      <c r="U57" s="1104"/>
    </row>
    <row r="58" spans="1:21">
      <c r="A58" s="1051">
        <v>305</v>
      </c>
      <c r="B58" s="1232"/>
      <c r="C58" s="1052"/>
      <c r="D58" s="1052"/>
      <c r="E58" s="1083">
        <f>C58-D58</f>
        <v>0</v>
      </c>
      <c r="F58" s="1080"/>
      <c r="G58" s="1037"/>
      <c r="H58" s="1232"/>
      <c r="I58" s="1081"/>
      <c r="T58" s="1041"/>
      <c r="U58" s="1104"/>
    </row>
    <row r="59" spans="1:21">
      <c r="A59" s="1058" t="s">
        <v>914</v>
      </c>
      <c r="B59" s="1248">
        <f>SUM(B53:B58)</f>
        <v>5</v>
      </c>
      <c r="C59" s="1033">
        <f>SUM(C53:C58)</f>
        <v>704</v>
      </c>
      <c r="D59" s="1033">
        <f>SUM(D53:D58)</f>
        <v>147</v>
      </c>
      <c r="E59" s="1033">
        <f>SUM(E53:E58)</f>
        <v>557</v>
      </c>
      <c r="F59" s="1080"/>
      <c r="G59" s="1037"/>
      <c r="H59" s="1233">
        <f>SUM(H55:H58)</f>
        <v>5</v>
      </c>
      <c r="I59" s="1085">
        <f>SUM(I55:I58)</f>
        <v>147</v>
      </c>
      <c r="K59" s="993">
        <f>E59/1000</f>
        <v>0.55700000000000005</v>
      </c>
      <c r="L59" s="993">
        <f>K59*$L$6</f>
        <v>0.50130000000000008</v>
      </c>
      <c r="M59" s="994"/>
      <c r="N59" s="994"/>
      <c r="O59" s="994"/>
      <c r="P59" s="994"/>
      <c r="Q59" s="1035"/>
      <c r="R59" s="994">
        <f>$L59*R$2*R$3</f>
        <v>64.509790500028032</v>
      </c>
      <c r="S59" s="1035">
        <f t="shared" ref="S59" si="9">$L59*S$2*S$4</f>
        <v>232.81207500009731</v>
      </c>
      <c r="T59" s="1103">
        <f>SUM(M59:S59)</f>
        <v>297.32186550012534</v>
      </c>
      <c r="U59" s="996">
        <f>$L59*$U$2*$U$4</f>
        <v>2157.2693550000004</v>
      </c>
    </row>
    <row r="60" spans="1:21">
      <c r="A60" s="1058"/>
      <c r="B60" s="1249"/>
      <c r="C60" s="1062"/>
      <c r="D60" s="1062"/>
      <c r="E60" s="1062"/>
      <c r="F60" s="1080"/>
      <c r="G60" s="1037"/>
      <c r="H60" s="1232"/>
      <c r="I60" s="1081"/>
      <c r="T60" s="1041"/>
      <c r="U60" s="1104"/>
    </row>
    <row r="61" spans="1:21">
      <c r="A61" s="1041"/>
      <c r="B61" s="1232"/>
      <c r="C61" s="1037"/>
      <c r="D61" s="1037"/>
      <c r="E61" s="1037"/>
      <c r="F61" s="1080"/>
      <c r="G61" s="1037"/>
      <c r="H61" s="1232"/>
      <c r="I61" s="1081"/>
      <c r="T61" s="1041"/>
      <c r="U61" s="1104"/>
    </row>
    <row r="62" spans="1:21">
      <c r="A62" s="1065">
        <v>91</v>
      </c>
      <c r="B62" s="1235">
        <f>SUMIF($A$8:$A$58,$A62,B$8:B$58)</f>
        <v>829</v>
      </c>
      <c r="C62" s="1093">
        <f t="shared" ref="C62:E62" si="10">SUMIF($A$8:$A$58,$A62,C$8:C$58)</f>
        <v>75439</v>
      </c>
      <c r="D62" s="1093">
        <f t="shared" si="10"/>
        <v>24372.599999999911</v>
      </c>
      <c r="E62" s="1093">
        <f t="shared" si="10"/>
        <v>51066.39999999963</v>
      </c>
      <c r="F62" s="1080"/>
      <c r="G62" s="1037"/>
      <c r="H62" s="1235"/>
      <c r="I62" s="1094"/>
      <c r="J62" s="980"/>
      <c r="T62" s="1041"/>
      <c r="U62" s="1104"/>
    </row>
    <row r="63" spans="1:21">
      <c r="A63" s="1065">
        <v>130</v>
      </c>
      <c r="B63" s="1235">
        <f t="shared" ref="B63:E68" si="11">SUMIF($A$8:$A$58,$A63,B$8:B$58)</f>
        <v>536</v>
      </c>
      <c r="C63" s="1093">
        <f t="shared" si="11"/>
        <v>69680</v>
      </c>
      <c r="D63" s="1093">
        <f t="shared" si="11"/>
        <v>15885.799999999996</v>
      </c>
      <c r="E63" s="1093">
        <f t="shared" si="11"/>
        <v>53794.200000000048</v>
      </c>
      <c r="F63" s="1080"/>
      <c r="G63" s="1037"/>
      <c r="H63" s="1235"/>
      <c r="I63" s="1094"/>
      <c r="J63" s="980"/>
      <c r="T63" s="1041"/>
      <c r="U63" s="1104"/>
    </row>
    <row r="64" spans="1:21">
      <c r="A64" s="1065">
        <v>196</v>
      </c>
      <c r="B64" s="1235">
        <f t="shared" si="11"/>
        <v>94</v>
      </c>
      <c r="C64" s="1093">
        <f t="shared" si="11"/>
        <v>18424</v>
      </c>
      <c r="D64" s="1093">
        <f t="shared" si="11"/>
        <v>3138.9899999999993</v>
      </c>
      <c r="E64" s="1093">
        <f t="shared" si="11"/>
        <v>15285.01</v>
      </c>
      <c r="F64" s="1080"/>
      <c r="G64" s="1037"/>
      <c r="H64" s="1235"/>
      <c r="I64" s="1094"/>
      <c r="J64" s="980"/>
      <c r="T64" s="1041"/>
      <c r="U64" s="1104"/>
    </row>
    <row r="65" spans="1:21">
      <c r="A65" s="1065">
        <v>215</v>
      </c>
      <c r="B65" s="1235">
        <f t="shared" si="11"/>
        <v>1</v>
      </c>
      <c r="C65" s="1093">
        <f t="shared" si="11"/>
        <v>215</v>
      </c>
      <c r="D65" s="1093">
        <f t="shared" si="11"/>
        <v>38.5</v>
      </c>
      <c r="E65" s="1093">
        <f t="shared" si="11"/>
        <v>176.5</v>
      </c>
      <c r="F65" s="1080"/>
      <c r="G65" s="1037"/>
      <c r="H65" s="1235"/>
      <c r="I65" s="1094"/>
      <c r="J65" s="980"/>
      <c r="T65" s="1041"/>
      <c r="U65" s="1104"/>
    </row>
    <row r="66" spans="1:21">
      <c r="A66" s="1065">
        <v>246</v>
      </c>
      <c r="B66" s="1235">
        <f t="shared" si="11"/>
        <v>2</v>
      </c>
      <c r="C66" s="1093">
        <f t="shared" si="11"/>
        <v>492</v>
      </c>
      <c r="D66" s="1093">
        <f t="shared" si="11"/>
        <v>58.8</v>
      </c>
      <c r="E66" s="1093">
        <f t="shared" si="11"/>
        <v>433.2</v>
      </c>
      <c r="F66" s="1080"/>
      <c r="G66" s="1037">
        <v>29.4</v>
      </c>
      <c r="H66" s="1235">
        <f t="shared" ref="H66:I68" si="12">SUMIF($G$8:$G$58,$G66,H$8:H$58)</f>
        <v>1411</v>
      </c>
      <c r="I66" s="1094">
        <f t="shared" si="12"/>
        <v>41483.4</v>
      </c>
      <c r="J66" s="980"/>
      <c r="T66" s="1041"/>
      <c r="U66" s="1104"/>
    </row>
    <row r="67" spans="1:21">
      <c r="A67" s="1065">
        <v>290</v>
      </c>
      <c r="B67" s="1235">
        <f t="shared" si="11"/>
        <v>1</v>
      </c>
      <c r="C67" s="1093">
        <f t="shared" si="11"/>
        <v>290</v>
      </c>
      <c r="D67" s="1093">
        <f t="shared" si="11"/>
        <v>38.5</v>
      </c>
      <c r="E67" s="1093">
        <f t="shared" si="11"/>
        <v>251.5</v>
      </c>
      <c r="F67" s="1080"/>
      <c r="G67" s="1037">
        <v>38.5</v>
      </c>
      <c r="H67" s="1235">
        <f t="shared" si="12"/>
        <v>53</v>
      </c>
      <c r="I67" s="1094">
        <f t="shared" si="12"/>
        <v>2040.5</v>
      </c>
      <c r="J67" s="980"/>
      <c r="T67" s="1041"/>
      <c r="U67" s="1104"/>
    </row>
    <row r="68" spans="1:21">
      <c r="A68" s="1065">
        <v>480</v>
      </c>
      <c r="B68" s="1235">
        <f t="shared" si="11"/>
        <v>2</v>
      </c>
      <c r="C68" s="1093">
        <f t="shared" si="11"/>
        <v>960</v>
      </c>
      <c r="D68" s="1093">
        <f t="shared" si="11"/>
        <v>58.8</v>
      </c>
      <c r="E68" s="1093">
        <f t="shared" si="11"/>
        <v>901.2</v>
      </c>
      <c r="F68" s="1080"/>
      <c r="G68" s="1037">
        <v>68.09</v>
      </c>
      <c r="H68" s="1235">
        <f t="shared" si="12"/>
        <v>1</v>
      </c>
      <c r="I68" s="1094">
        <f t="shared" si="12"/>
        <v>68.09</v>
      </c>
      <c r="T68" s="1041"/>
      <c r="U68" s="1106"/>
    </row>
    <row r="69" spans="1:21" ht="15.75" thickBot="1">
      <c r="A69" s="1068" t="s">
        <v>918</v>
      </c>
      <c r="B69" s="1242">
        <f>B59+B50+B41+B32+B23+B14</f>
        <v>1465</v>
      </c>
      <c r="C69" s="1038">
        <f>C59+C50+C41+C32+C23+C14</f>
        <v>165500</v>
      </c>
      <c r="D69" s="1039">
        <f>D59+D50+D41+D32+D23+D14</f>
        <v>43591.989999999903</v>
      </c>
      <c r="E69" s="1038">
        <f>E59+E50+E41+E32+E23+E14</f>
        <v>121908.00999999969</v>
      </c>
      <c r="F69" s="1080"/>
      <c r="G69" s="1037"/>
      <c r="H69" s="1236">
        <f>SUM(H64:H68)</f>
        <v>1465</v>
      </c>
      <c r="I69" s="1095">
        <f>SUM(I64:I68)</f>
        <v>43591.99</v>
      </c>
      <c r="K69" s="1002">
        <f>E69/1000</f>
        <v>121.90800999999969</v>
      </c>
      <c r="L69" s="1002">
        <f>K69*$L$6</f>
        <v>109.71720899999973</v>
      </c>
      <c r="M69" s="1002">
        <f>SUM(M14:M60)</f>
        <v>5327.2164654719627</v>
      </c>
      <c r="N69" s="1002">
        <f t="shared" ref="N69:U69" si="13">SUM(N14:N60)</f>
        <v>15431.286492179906</v>
      </c>
      <c r="O69" s="1002">
        <f t="shared" si="13"/>
        <v>30933.661617851059</v>
      </c>
      <c r="P69" s="1002">
        <f t="shared" si="13"/>
        <v>36720.882288516972</v>
      </c>
      <c r="Q69" s="1002">
        <f t="shared" si="13"/>
        <v>43980.15439520988</v>
      </c>
      <c r="R69" s="1002">
        <f t="shared" si="13"/>
        <v>46912.673956070248</v>
      </c>
      <c r="S69" s="1002">
        <f t="shared" si="13"/>
        <v>50954.500479771166</v>
      </c>
      <c r="T69" s="1101">
        <f t="shared" si="13"/>
        <v>230260.37569507121</v>
      </c>
      <c r="U69" s="1102">
        <f t="shared" si="13"/>
        <v>472151.5513501488</v>
      </c>
    </row>
    <row r="70" spans="1:21" ht="14.45" customHeight="1" thickTop="1">
      <c r="A70" s="1096"/>
      <c r="B70" s="1264">
        <f>B69-SUM(B62:B68)</f>
        <v>0</v>
      </c>
      <c r="C70" s="1097">
        <f>C69-SUM(C62:C68)</f>
        <v>0</v>
      </c>
      <c r="D70" s="1097">
        <f>D69-SUM(D62:D68)</f>
        <v>0</v>
      </c>
      <c r="E70" s="1097">
        <f>E69-SUM(E62:E68)</f>
        <v>0</v>
      </c>
      <c r="F70" s="1098"/>
      <c r="G70" s="1071"/>
      <c r="H70" s="1228"/>
      <c r="I70" s="1099"/>
    </row>
    <row r="71" spans="1:21">
      <c r="M71" s="1004">
        <f>5327.21646547196-(M69)</f>
        <v>0</v>
      </c>
      <c r="N71" s="1004">
        <f>15431.2864921799-(N69)</f>
        <v>0</v>
      </c>
      <c r="O71" s="1004">
        <f>30933.6616178511-(O69)</f>
        <v>4.0017766878008842E-11</v>
      </c>
      <c r="P71" s="1004">
        <f>36720.882288517-(P69)</f>
        <v>0</v>
      </c>
      <c r="Q71" s="1004">
        <f>43980.1543952099-(Q69)</f>
        <v>0</v>
      </c>
      <c r="R71" s="1004">
        <f>46912.6739560702-(R69)</f>
        <v>0</v>
      </c>
      <c r="S71" s="1004">
        <f>50954.5004797712-(S69)</f>
        <v>0</v>
      </c>
      <c r="T71" s="1004">
        <f>230260.375695071-(T69)</f>
        <v>0</v>
      </c>
      <c r="U71" s="1004">
        <f>472151.551350149-(U69)</f>
        <v>0</v>
      </c>
    </row>
    <row r="75" spans="1:21">
      <c r="M75" s="1004"/>
    </row>
  </sheetData>
  <mergeCells count="1">
    <mergeCell ref="A1:E1"/>
  </mergeCells>
  <pageMargins left="0.70866141732283472" right="0.70866141732283472" top="0.74803149606299213" bottom="0.74803149606299213" header="0.31496062992125984" footer="0.31496062992125984"/>
  <pageSetup orientation="portrait" r:id="rId1"/>
  <rowBreaks count="2" manualBreakCount="2">
    <brk id="32" max="16383" man="1"/>
    <brk id="6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A0DF-D43D-4A80-B07F-24774DAE08B3}">
  <sheetPr>
    <tabColor rgb="FF92D050"/>
    <pageSetUpPr fitToPage="1"/>
  </sheetPr>
  <dimension ref="A1:T120"/>
  <sheetViews>
    <sheetView zoomScaleNormal="100" workbookViewId="0">
      <pane xSplit="6" ySplit="5" topLeftCell="G6" activePane="bottomRight" state="frozen"/>
      <selection activeCell="G7" sqref="G7"/>
      <selection pane="topRight" activeCell="G7" sqref="G7"/>
      <selection pane="bottomLeft" activeCell="G7" sqref="G7"/>
      <selection pane="bottomRight" activeCell="L5" sqref="L5"/>
    </sheetView>
  </sheetViews>
  <sheetFormatPr defaultColWidth="8.7109375" defaultRowHeight="15"/>
  <cols>
    <col min="1" max="1" width="17.5703125" style="966" customWidth="1"/>
    <col min="2" max="2" width="11" style="1218" customWidth="1"/>
    <col min="3" max="3" width="13.7109375" style="1218" customWidth="1"/>
    <col min="4" max="4" width="12.85546875" style="1107" customWidth="1"/>
    <col min="5" max="5" width="12.5703125" style="1107" customWidth="1"/>
    <col min="6" max="6" width="1" style="965" customWidth="1"/>
    <col min="7" max="7" width="5.85546875" style="980" customWidth="1"/>
    <col min="8" max="8" width="11.140625" style="1218" customWidth="1"/>
    <col min="9" max="9" width="11.140625" style="1107" bestFit="1" customWidth="1"/>
    <col min="10" max="10" width="2.42578125" style="966" customWidth="1"/>
    <col min="11" max="11" width="14.5703125" style="966" bestFit="1" customWidth="1"/>
    <col min="12" max="12" width="11.42578125" style="966" customWidth="1"/>
    <col min="13" max="13" width="10" style="966" customWidth="1"/>
    <col min="14" max="20" width="13.5703125" style="966" customWidth="1"/>
    <col min="21" max="16384" width="8.7109375" style="966"/>
  </cols>
  <sheetData>
    <row r="1" spans="1:20" ht="15.75">
      <c r="A1" s="1216" t="s">
        <v>882</v>
      </c>
      <c r="B1" s="1216"/>
      <c r="C1" s="1216"/>
      <c r="D1" s="1216"/>
      <c r="E1" s="1216"/>
    </row>
    <row r="2" spans="1:20">
      <c r="B2" s="1263" t="s">
        <v>919</v>
      </c>
      <c r="C2" s="1263" t="s">
        <v>883</v>
      </c>
      <c r="D2" s="1261" t="s">
        <v>884</v>
      </c>
      <c r="E2" s="1261" t="s">
        <v>885</v>
      </c>
      <c r="K2" s="1007" t="s">
        <v>886</v>
      </c>
      <c r="L2" s="1008"/>
      <c r="M2" s="1008">
        <v>8.9700000000000006</v>
      </c>
      <c r="N2" s="1009">
        <v>10.079032258055504</v>
      </c>
      <c r="O2" s="1009">
        <v>11.505555555556203</v>
      </c>
      <c r="P2" s="1009">
        <v>12.99</v>
      </c>
      <c r="Q2" s="1009">
        <v>14.298333333339542</v>
      </c>
      <c r="R2" s="1009">
        <v>14.981182795705184</v>
      </c>
      <c r="S2" s="1010"/>
      <c r="T2" s="1011">
        <v>11.79</v>
      </c>
    </row>
    <row r="3" spans="1:20" ht="31.5">
      <c r="A3" s="1108" t="s">
        <v>836</v>
      </c>
      <c r="B3" s="1263"/>
      <c r="C3" s="1278" t="s">
        <v>887</v>
      </c>
      <c r="D3" s="1282" t="s">
        <v>888</v>
      </c>
      <c r="E3" s="1261"/>
      <c r="K3" s="1012" t="s">
        <v>890</v>
      </c>
      <c r="L3" s="1013"/>
      <c r="M3" s="1029">
        <v>5.54</v>
      </c>
      <c r="N3" s="1014">
        <v>11.8</v>
      </c>
      <c r="O3" s="1014">
        <v>14.95</v>
      </c>
      <c r="P3" s="1014">
        <v>15.85</v>
      </c>
      <c r="Q3" s="1014">
        <v>14.19</v>
      </c>
      <c r="R3" s="1014">
        <v>20.03</v>
      </c>
      <c r="S3" s="1015"/>
      <c r="T3" s="1016"/>
    </row>
    <row r="4" spans="1:20">
      <c r="B4" s="1263"/>
      <c r="C4" s="1279"/>
      <c r="D4" s="1273"/>
      <c r="E4" s="1273"/>
      <c r="G4" s="975" t="s">
        <v>891</v>
      </c>
      <c r="K4" s="1017" t="s">
        <v>892</v>
      </c>
      <c r="L4" s="1018"/>
      <c r="M4" s="1030">
        <v>31</v>
      </c>
      <c r="N4" s="1019">
        <v>31</v>
      </c>
      <c r="O4" s="1019">
        <v>30</v>
      </c>
      <c r="P4" s="1019">
        <v>31</v>
      </c>
      <c r="Q4" s="1019">
        <v>30</v>
      </c>
      <c r="R4" s="1031">
        <v>31</v>
      </c>
      <c r="S4" s="1021"/>
      <c r="T4" s="1022">
        <v>365</v>
      </c>
    </row>
    <row r="5" spans="1:20" ht="45">
      <c r="A5" s="1109" t="s">
        <v>893</v>
      </c>
      <c r="B5" s="1239" t="s">
        <v>894</v>
      </c>
      <c r="C5" s="1239" t="s">
        <v>895</v>
      </c>
      <c r="D5" s="1237" t="s">
        <v>896</v>
      </c>
      <c r="E5" s="1237" t="s">
        <v>897</v>
      </c>
      <c r="F5" s="1076"/>
      <c r="G5" s="1110" t="s">
        <v>898</v>
      </c>
      <c r="H5" s="1239" t="s">
        <v>894</v>
      </c>
      <c r="I5" s="1111" t="s">
        <v>896</v>
      </c>
      <c r="K5" s="1023" t="s">
        <v>921</v>
      </c>
      <c r="L5" s="1024" t="s">
        <v>899</v>
      </c>
      <c r="M5" s="1026" t="s">
        <v>917</v>
      </c>
      <c r="N5" s="1026" t="s">
        <v>900</v>
      </c>
      <c r="O5" s="1026" t="s">
        <v>901</v>
      </c>
      <c r="P5" s="1026" t="s">
        <v>902</v>
      </c>
      <c r="Q5" s="1026" t="s">
        <v>903</v>
      </c>
      <c r="R5" s="1026" t="s">
        <v>904</v>
      </c>
      <c r="S5" s="1027" t="s">
        <v>905</v>
      </c>
      <c r="T5" s="1027" t="s">
        <v>906</v>
      </c>
    </row>
    <row r="6" spans="1:20">
      <c r="A6" s="1050" t="s">
        <v>907</v>
      </c>
      <c r="B6" s="1269"/>
      <c r="C6" s="1269"/>
      <c r="D6" s="1265"/>
      <c r="I6" s="1112"/>
      <c r="L6" s="985">
        <v>0.9</v>
      </c>
      <c r="S6" s="1104"/>
      <c r="T6" s="1104"/>
    </row>
    <row r="7" spans="1:20">
      <c r="A7" s="1051">
        <v>130</v>
      </c>
      <c r="B7" s="1218">
        <v>38</v>
      </c>
      <c r="C7" s="1234">
        <v>4940</v>
      </c>
      <c r="D7" s="1230">
        <v>2745.9800000000005</v>
      </c>
      <c r="E7" s="1230">
        <v>2194.0200000000009</v>
      </c>
      <c r="I7" s="1112"/>
      <c r="S7" s="1104"/>
      <c r="T7" s="1104"/>
    </row>
    <row r="8" spans="1:20">
      <c r="A8" s="1051">
        <v>196</v>
      </c>
      <c r="B8" s="1218">
        <v>181</v>
      </c>
      <c r="C8" s="1234">
        <v>35476</v>
      </c>
      <c r="D8" s="1230">
        <v>12918.890000000018</v>
      </c>
      <c r="E8" s="1230">
        <v>22557.109999999982</v>
      </c>
      <c r="I8" s="1112"/>
      <c r="S8" s="1104"/>
      <c r="T8" s="1104"/>
    </row>
    <row r="9" spans="1:20">
      <c r="A9" s="1051">
        <v>246</v>
      </c>
      <c r="B9" s="1218">
        <v>3</v>
      </c>
      <c r="C9" s="1234">
        <v>738</v>
      </c>
      <c r="D9" s="1230">
        <v>234</v>
      </c>
      <c r="E9" s="1230">
        <v>504</v>
      </c>
      <c r="G9" s="1113">
        <v>68.09</v>
      </c>
      <c r="H9" s="1240">
        <v>143</v>
      </c>
      <c r="I9" s="1114">
        <f>H9*G9</f>
        <v>9736.8700000000008</v>
      </c>
      <c r="S9" s="1104"/>
      <c r="T9" s="1104"/>
    </row>
    <row r="10" spans="1:20">
      <c r="A10" s="1051">
        <v>305</v>
      </c>
      <c r="B10" s="1218">
        <v>4</v>
      </c>
      <c r="C10" s="1234">
        <v>1220</v>
      </c>
      <c r="D10" s="1230">
        <v>312</v>
      </c>
      <c r="E10" s="1230">
        <v>908</v>
      </c>
      <c r="G10" s="1113">
        <v>78</v>
      </c>
      <c r="H10" s="1240">
        <v>83</v>
      </c>
      <c r="I10" s="1114">
        <f>H10*G10</f>
        <v>6474</v>
      </c>
      <c r="S10" s="1104"/>
      <c r="T10" s="1104"/>
    </row>
    <row r="11" spans="1:20">
      <c r="A11" s="1058" t="s">
        <v>910</v>
      </c>
      <c r="B11" s="1248">
        <f>SUM(B7:B10)</f>
        <v>226</v>
      </c>
      <c r="C11" s="1248">
        <f>SUM(C7:C10)</f>
        <v>42374</v>
      </c>
      <c r="D11" s="1247">
        <f>SUM(D7:D10)</f>
        <v>16210.870000000017</v>
      </c>
      <c r="E11" s="1247">
        <f>SUM(E7:E10)</f>
        <v>26163.129999999983</v>
      </c>
      <c r="F11" s="999"/>
      <c r="H11" s="1233">
        <f>SUM(H8:H10)</f>
        <v>226</v>
      </c>
      <c r="I11" s="1115">
        <f>I10+I9+I8</f>
        <v>16210.87</v>
      </c>
      <c r="K11" s="993">
        <f>E11/1000</f>
        <v>26.163129999999981</v>
      </c>
      <c r="L11" s="993">
        <f>K11*$L$6</f>
        <v>23.546816999999983</v>
      </c>
      <c r="M11" s="994">
        <f>$L11*M$2*M$3</f>
        <v>1170.1308146345993</v>
      </c>
      <c r="N11" s="1035">
        <f>$L11*N$2*N$4</f>
        <v>7357.2029716434163</v>
      </c>
      <c r="O11" s="1035">
        <f t="shared" ref="O11:R11" si="0">$L11*O$2*O$4</f>
        <v>8127.5763345004507</v>
      </c>
      <c r="P11" s="1035">
        <f t="shared" si="0"/>
        <v>9482.0677377299944</v>
      </c>
      <c r="Q11" s="1035">
        <f t="shared" si="0"/>
        <v>10100.407152154377</v>
      </c>
      <c r="R11" s="1035">
        <f t="shared" si="0"/>
        <v>10935.534261754561</v>
      </c>
      <c r="S11" s="996">
        <f>SUM(M11:R11)</f>
        <v>47172.919272417399</v>
      </c>
      <c r="T11" s="996">
        <f>$L11*$T$2*$T$4</f>
        <v>101330.19493694993</v>
      </c>
    </row>
    <row r="12" spans="1:20">
      <c r="A12" s="1046"/>
      <c r="B12" s="1269"/>
      <c r="C12" s="1269"/>
      <c r="D12" s="1265"/>
      <c r="I12" s="1114"/>
      <c r="S12" s="1104"/>
      <c r="T12" s="1104"/>
    </row>
    <row r="13" spans="1:20">
      <c r="A13" s="1050" t="s">
        <v>907</v>
      </c>
      <c r="B13" s="1269"/>
      <c r="C13" s="1269"/>
      <c r="D13" s="1265"/>
      <c r="I13" s="1114"/>
      <c r="S13" s="1104"/>
      <c r="T13" s="1104"/>
    </row>
    <row r="14" spans="1:20">
      <c r="A14" s="1051">
        <v>130</v>
      </c>
      <c r="B14" s="1218">
        <v>89</v>
      </c>
      <c r="C14" s="1234">
        <v>11570</v>
      </c>
      <c r="D14" s="1230">
        <v>6932.09</v>
      </c>
      <c r="E14" s="1230">
        <v>4637.91</v>
      </c>
      <c r="I14" s="1114"/>
      <c r="S14" s="1104"/>
      <c r="T14" s="1104"/>
    </row>
    <row r="15" spans="1:20">
      <c r="A15" s="1051">
        <v>196</v>
      </c>
      <c r="B15" s="1218">
        <v>241</v>
      </c>
      <c r="C15" s="1234">
        <v>47236</v>
      </c>
      <c r="D15" s="1230">
        <v>18084.48000000001</v>
      </c>
      <c r="E15" s="1230">
        <v>29151.51999999999</v>
      </c>
      <c r="I15" s="1114"/>
      <c r="S15" s="1104"/>
      <c r="T15" s="1104"/>
    </row>
    <row r="16" spans="1:20">
      <c r="A16" s="1051">
        <v>225</v>
      </c>
      <c r="B16" s="1218">
        <v>2</v>
      </c>
      <c r="C16" s="1234">
        <v>450</v>
      </c>
      <c r="D16" s="1230">
        <v>156</v>
      </c>
      <c r="E16" s="1230">
        <v>294</v>
      </c>
      <c r="I16" s="1114"/>
      <c r="S16" s="1104"/>
      <c r="T16" s="1104"/>
    </row>
    <row r="17" spans="1:20">
      <c r="A17" s="1051">
        <v>246</v>
      </c>
      <c r="B17" s="1218">
        <v>166</v>
      </c>
      <c r="C17" s="1234">
        <v>40836</v>
      </c>
      <c r="D17" s="1230">
        <v>12948</v>
      </c>
      <c r="E17" s="1230">
        <v>27888</v>
      </c>
      <c r="G17" s="1113">
        <v>68.09</v>
      </c>
      <c r="H17" s="1240">
        <v>73</v>
      </c>
      <c r="I17" s="1114">
        <f>H17*G17</f>
        <v>4970.5700000000006</v>
      </c>
      <c r="S17" s="1104"/>
      <c r="T17" s="1104"/>
    </row>
    <row r="18" spans="1:20">
      <c r="A18" s="1051">
        <v>305</v>
      </c>
      <c r="B18" s="1218">
        <v>58</v>
      </c>
      <c r="C18" s="1234">
        <v>17690</v>
      </c>
      <c r="D18" s="1230">
        <v>4524</v>
      </c>
      <c r="E18" s="1230">
        <v>13166</v>
      </c>
      <c r="G18" s="1113">
        <v>78</v>
      </c>
      <c r="H18" s="1240">
        <v>483</v>
      </c>
      <c r="I18" s="1114">
        <f>H18*G18</f>
        <v>37674</v>
      </c>
      <c r="S18" s="1104"/>
      <c r="T18" s="1104"/>
    </row>
    <row r="19" spans="1:20">
      <c r="A19" s="1058" t="s">
        <v>911</v>
      </c>
      <c r="B19" s="1248">
        <f>SUM(B14:B18)</f>
        <v>556</v>
      </c>
      <c r="C19" s="1248">
        <f>SUM(C14:C18)</f>
        <v>117782</v>
      </c>
      <c r="D19" s="1247">
        <f>SUM(D14:D18)</f>
        <v>42644.570000000007</v>
      </c>
      <c r="E19" s="1247">
        <f>SUM(E14:E18)</f>
        <v>75137.429999999993</v>
      </c>
      <c r="H19" s="1233">
        <f>SUM(H16:H18)</f>
        <v>556</v>
      </c>
      <c r="I19" s="1115">
        <f>I18+I17+I16</f>
        <v>42644.57</v>
      </c>
      <c r="K19" s="993">
        <f>E19/1000</f>
        <v>75.137429999999995</v>
      </c>
      <c r="L19" s="993">
        <f>K19*$L$6</f>
        <v>67.623687000000004</v>
      </c>
      <c r="M19" s="994"/>
      <c r="N19" s="994">
        <f>$L19*N$2*N$3</f>
        <v>8042.6596076434544</v>
      </c>
      <c r="O19" s="1035">
        <f t="shared" ref="O19:R19" si="1">$L19*O$2*O$4</f>
        <v>23341.442629501315</v>
      </c>
      <c r="P19" s="1035">
        <f t="shared" si="1"/>
        <v>27231.382518030005</v>
      </c>
      <c r="Q19" s="1035">
        <f t="shared" si="1"/>
        <v>29007.180538662597</v>
      </c>
      <c r="R19" s="1035">
        <f t="shared" si="1"/>
        <v>31405.567304263124</v>
      </c>
      <c r="S19" s="996">
        <f>SUM(M19:R19)</f>
        <v>119028.2325981005</v>
      </c>
      <c r="T19" s="996">
        <f>$L19*$T$2*$T$4</f>
        <v>291008.39345144999</v>
      </c>
    </row>
    <row r="20" spans="1:20">
      <c r="A20" s="1046"/>
      <c r="B20" s="1269"/>
      <c r="C20" s="1269"/>
      <c r="D20" s="1265"/>
      <c r="I20" s="1114"/>
      <c r="S20" s="1104"/>
      <c r="T20" s="1104"/>
    </row>
    <row r="21" spans="1:20">
      <c r="A21" s="1050" t="s">
        <v>907</v>
      </c>
      <c r="B21" s="1269"/>
      <c r="C21" s="1269"/>
      <c r="D21" s="1265"/>
      <c r="I21" s="1114"/>
      <c r="S21" s="1104"/>
      <c r="T21" s="1104"/>
    </row>
    <row r="22" spans="1:20">
      <c r="A22" s="1051">
        <v>130</v>
      </c>
      <c r="B22" s="1218">
        <v>4</v>
      </c>
      <c r="C22" s="1234">
        <v>520</v>
      </c>
      <c r="D22" s="1230">
        <v>312</v>
      </c>
      <c r="E22" s="1230">
        <v>208</v>
      </c>
      <c r="I22" s="1114"/>
      <c r="S22" s="1104"/>
      <c r="T22" s="1104"/>
    </row>
    <row r="23" spans="1:20">
      <c r="A23" s="1051">
        <v>196</v>
      </c>
      <c r="B23" s="1218">
        <v>239</v>
      </c>
      <c r="C23" s="1234">
        <v>46844</v>
      </c>
      <c r="D23" s="1230">
        <v>18493.350000000002</v>
      </c>
      <c r="E23" s="1230">
        <v>28350.649999999998</v>
      </c>
      <c r="I23" s="1114"/>
      <c r="S23" s="1104"/>
      <c r="T23" s="1104"/>
    </row>
    <row r="24" spans="1:20">
      <c r="A24" s="1051">
        <v>246</v>
      </c>
      <c r="B24" s="1218">
        <v>245</v>
      </c>
      <c r="C24" s="1234">
        <v>60270</v>
      </c>
      <c r="D24" s="1230">
        <v>19110</v>
      </c>
      <c r="E24" s="1230">
        <v>41160</v>
      </c>
      <c r="G24" s="1113">
        <v>68.09</v>
      </c>
      <c r="H24" s="1240">
        <v>15</v>
      </c>
      <c r="I24" s="1114">
        <f>H24*G24</f>
        <v>1021.35</v>
      </c>
      <c r="S24" s="1104"/>
      <c r="T24" s="1104"/>
    </row>
    <row r="25" spans="1:20">
      <c r="A25" s="1051">
        <v>305</v>
      </c>
      <c r="B25" s="1218">
        <v>59</v>
      </c>
      <c r="C25" s="1234">
        <v>17995</v>
      </c>
      <c r="D25" s="1230">
        <v>4602</v>
      </c>
      <c r="E25" s="1230">
        <v>13393</v>
      </c>
      <c r="G25" s="1113">
        <v>78</v>
      </c>
      <c r="H25" s="1240">
        <v>532</v>
      </c>
      <c r="I25" s="1114">
        <f>H25*G25</f>
        <v>41496</v>
      </c>
      <c r="S25" s="1104"/>
      <c r="T25" s="1104"/>
    </row>
    <row r="26" spans="1:20">
      <c r="A26" s="1058" t="s">
        <v>912</v>
      </c>
      <c r="B26" s="1248">
        <f>SUM(B22:B25)</f>
        <v>547</v>
      </c>
      <c r="C26" s="1248">
        <f>SUM(C22:C25)</f>
        <v>125629</v>
      </c>
      <c r="D26" s="1247">
        <f>SUM(D22:D25)</f>
        <v>42517.350000000006</v>
      </c>
      <c r="E26" s="1247">
        <f>SUM(E22:E25)</f>
        <v>83111.649999999994</v>
      </c>
      <c r="H26" s="1233">
        <f>SUM(H23:H25)</f>
        <v>547</v>
      </c>
      <c r="I26" s="1115">
        <f>I25+I24+I23</f>
        <v>42517.35</v>
      </c>
      <c r="K26" s="993">
        <f>E26/1000</f>
        <v>83.111649999999997</v>
      </c>
      <c r="L26" s="993">
        <f>K26*$L$6</f>
        <v>74.800484999999995</v>
      </c>
      <c r="M26" s="994"/>
      <c r="N26" s="1035"/>
      <c r="O26" s="994">
        <f>$L26*O$2*O$3</f>
        <v>12866.285979463222</v>
      </c>
      <c r="P26" s="1035">
        <f t="shared" ref="P26:R26" si="2">$L26*P$2*P$4</f>
        <v>30121.407304649998</v>
      </c>
      <c r="Q26" s="1035">
        <f t="shared" si="2"/>
        <v>32085.668040763932</v>
      </c>
      <c r="R26" s="1035">
        <f t="shared" si="2"/>
        <v>34738.591908764516</v>
      </c>
      <c r="S26" s="996">
        <f>SUM(M26:R26)</f>
        <v>109811.95323364167</v>
      </c>
      <c r="T26" s="996">
        <f>$L26*$T$2*$T$4</f>
        <v>321892.66712474992</v>
      </c>
    </row>
    <row r="27" spans="1:20">
      <c r="A27" s="1046"/>
      <c r="B27" s="1269"/>
      <c r="C27" s="1269"/>
      <c r="D27" s="1265"/>
      <c r="I27" s="1114"/>
      <c r="S27" s="1104"/>
      <c r="T27" s="1104"/>
    </row>
    <row r="28" spans="1:20">
      <c r="A28" s="1050" t="s">
        <v>907</v>
      </c>
      <c r="B28" s="1269"/>
      <c r="C28" s="1269"/>
      <c r="D28" s="1265"/>
      <c r="I28" s="1114"/>
      <c r="S28" s="1104"/>
      <c r="T28" s="1104"/>
    </row>
    <row r="29" spans="1:20">
      <c r="A29" s="1051">
        <v>130</v>
      </c>
      <c r="B29" s="1218">
        <v>45</v>
      </c>
      <c r="C29" s="1234">
        <v>5850</v>
      </c>
      <c r="D29" s="1230">
        <v>3510</v>
      </c>
      <c r="E29" s="1230">
        <v>2340</v>
      </c>
      <c r="I29" s="1114"/>
      <c r="S29" s="1104"/>
      <c r="T29" s="1104"/>
    </row>
    <row r="30" spans="1:20">
      <c r="A30" s="1051">
        <v>196</v>
      </c>
      <c r="B30" s="1218">
        <v>515</v>
      </c>
      <c r="C30" s="1234">
        <v>100940</v>
      </c>
      <c r="D30" s="1230">
        <v>40590</v>
      </c>
      <c r="E30" s="1230">
        <v>60350</v>
      </c>
      <c r="I30" s="1114"/>
      <c r="S30" s="1104"/>
      <c r="T30" s="1104"/>
    </row>
    <row r="31" spans="1:20">
      <c r="A31" s="1051">
        <v>246</v>
      </c>
      <c r="B31" s="1218">
        <v>350</v>
      </c>
      <c r="C31" s="1234">
        <v>86100</v>
      </c>
      <c r="D31" s="1230">
        <v>27342</v>
      </c>
      <c r="E31" s="1230">
        <v>58758</v>
      </c>
      <c r="G31" s="1113">
        <v>78</v>
      </c>
      <c r="H31" s="1240">
        <v>944</v>
      </c>
      <c r="I31" s="1114">
        <f>H31*G31</f>
        <v>73632</v>
      </c>
      <c r="S31" s="1104"/>
      <c r="T31" s="1104"/>
    </row>
    <row r="32" spans="1:20">
      <c r="A32" s="1051">
        <v>305</v>
      </c>
      <c r="B32" s="1218">
        <v>59</v>
      </c>
      <c r="C32" s="1234">
        <v>17995</v>
      </c>
      <c r="D32" s="1230">
        <v>5190</v>
      </c>
      <c r="E32" s="1230">
        <v>12805</v>
      </c>
      <c r="G32" s="1113">
        <v>120</v>
      </c>
      <c r="H32" s="1240">
        <v>25</v>
      </c>
      <c r="I32" s="1114">
        <f>H32*G32</f>
        <v>3000</v>
      </c>
      <c r="S32" s="1104"/>
      <c r="T32" s="1104"/>
    </row>
    <row r="33" spans="1:20">
      <c r="A33" s="1058" t="s">
        <v>913</v>
      </c>
      <c r="B33" s="1248">
        <f>SUM(B29:B32)</f>
        <v>969</v>
      </c>
      <c r="C33" s="1248">
        <f>SUM(C29:C32)</f>
        <v>210885</v>
      </c>
      <c r="D33" s="1247">
        <f>SUM(D29:D32)</f>
        <v>76632</v>
      </c>
      <c r="E33" s="1247">
        <f>SUM(E29:E32)</f>
        <v>134253</v>
      </c>
      <c r="H33" s="1233">
        <f>SUM(H30:H32)</f>
        <v>969</v>
      </c>
      <c r="I33" s="1115">
        <f>I32+I31+I30</f>
        <v>76632</v>
      </c>
      <c r="K33" s="993">
        <f>E33/1000</f>
        <v>134.25299999999999</v>
      </c>
      <c r="L33" s="993">
        <f>K33*$L$6</f>
        <v>120.82769999999999</v>
      </c>
      <c r="M33" s="994"/>
      <c r="N33" s="1035"/>
      <c r="O33" s="1035"/>
      <c r="P33" s="994">
        <f>$L33*P$2*P$3</f>
        <v>24877.39639455</v>
      </c>
      <c r="Q33" s="1035">
        <f t="shared" ref="Q33:R33" si="3">$L33*Q$2*Q$4</f>
        <v>51829.041915022499</v>
      </c>
      <c r="R33" s="1035">
        <f t="shared" si="3"/>
        <v>56114.397675023443</v>
      </c>
      <c r="S33" s="996">
        <f>SUM(M33:R33)</f>
        <v>132820.83598459593</v>
      </c>
      <c r="T33" s="996">
        <f>$L33*$T$2*$T$4</f>
        <v>519963.88279499992</v>
      </c>
    </row>
    <row r="34" spans="1:20">
      <c r="A34" s="1046"/>
      <c r="B34" s="1269"/>
      <c r="C34" s="1269"/>
      <c r="D34" s="1265"/>
      <c r="I34" s="1114"/>
      <c r="S34" s="1104"/>
      <c r="T34" s="1104"/>
    </row>
    <row r="35" spans="1:20">
      <c r="A35" s="1050" t="s">
        <v>907</v>
      </c>
      <c r="B35" s="1269"/>
      <c r="C35" s="1269"/>
      <c r="D35" s="1265"/>
      <c r="I35" s="1114"/>
      <c r="S35" s="1104"/>
      <c r="T35" s="1104"/>
    </row>
    <row r="36" spans="1:20">
      <c r="A36" s="1051">
        <v>130</v>
      </c>
      <c r="B36" s="1218">
        <v>23</v>
      </c>
      <c r="C36" s="1234">
        <v>2990</v>
      </c>
      <c r="D36" s="1230">
        <v>1794</v>
      </c>
      <c r="E36" s="1230">
        <v>1196</v>
      </c>
      <c r="I36" s="1114"/>
      <c r="S36" s="1104"/>
      <c r="T36" s="1104"/>
    </row>
    <row r="37" spans="1:20">
      <c r="A37" s="1051">
        <v>196</v>
      </c>
      <c r="B37" s="1218">
        <v>666</v>
      </c>
      <c r="C37" s="1234">
        <v>130536</v>
      </c>
      <c r="D37" s="1230">
        <v>52148.09</v>
      </c>
      <c r="E37" s="1230">
        <v>78387.91</v>
      </c>
      <c r="G37" s="1113">
        <v>68.09</v>
      </c>
      <c r="H37" s="1240">
        <v>1</v>
      </c>
      <c r="I37" s="1114">
        <f>H37*G37</f>
        <v>68.09</v>
      </c>
      <c r="S37" s="1104"/>
      <c r="T37" s="1104"/>
    </row>
    <row r="38" spans="1:20">
      <c r="A38" s="1051">
        <v>246</v>
      </c>
      <c r="B38" s="1218">
        <v>442</v>
      </c>
      <c r="C38" s="1234">
        <v>108732</v>
      </c>
      <c r="D38" s="1230">
        <v>35442</v>
      </c>
      <c r="E38" s="1230">
        <v>73290</v>
      </c>
      <c r="G38" s="1113">
        <v>78</v>
      </c>
      <c r="H38" s="1240">
        <v>1158</v>
      </c>
      <c r="I38" s="1114">
        <f>H38*G38</f>
        <v>90324</v>
      </c>
      <c r="S38" s="1104"/>
      <c r="T38" s="1104"/>
    </row>
    <row r="39" spans="1:20">
      <c r="A39" s="1051">
        <v>305</v>
      </c>
      <c r="B39" s="1218">
        <v>117</v>
      </c>
      <c r="C39" s="1234">
        <v>35685</v>
      </c>
      <c r="D39" s="1230">
        <v>11688</v>
      </c>
      <c r="E39" s="1230">
        <v>23997</v>
      </c>
      <c r="G39" s="1113">
        <v>120</v>
      </c>
      <c r="H39" s="1240">
        <v>89</v>
      </c>
      <c r="I39" s="1114">
        <f>H39*G39</f>
        <v>10680</v>
      </c>
      <c r="S39" s="1104"/>
      <c r="T39" s="1104"/>
    </row>
    <row r="40" spans="1:20">
      <c r="A40" s="1058" t="s">
        <v>914</v>
      </c>
      <c r="B40" s="1248">
        <f>SUM(B36:B39)</f>
        <v>1248</v>
      </c>
      <c r="C40" s="1248">
        <f>SUM(C36:C39)</f>
        <v>277943</v>
      </c>
      <c r="D40" s="1247">
        <f>SUM(D36:D39)</f>
        <v>101072.09</v>
      </c>
      <c r="E40" s="1247">
        <f>SUM(E36:E39)</f>
        <v>176870.91</v>
      </c>
      <c r="H40" s="1233">
        <f>SUM(H37:H39)</f>
        <v>1248</v>
      </c>
      <c r="I40" s="1115">
        <f>I39+I38+I37</f>
        <v>101072.09</v>
      </c>
      <c r="K40" s="993">
        <f>E40/1000</f>
        <v>176.87091000000001</v>
      </c>
      <c r="L40" s="993">
        <f>K40*$L$6</f>
        <v>159.183819</v>
      </c>
      <c r="M40" s="994"/>
      <c r="N40" s="1035"/>
      <c r="O40" s="1035"/>
      <c r="P40" s="1035"/>
      <c r="Q40" s="994">
        <f>$L40*Q$2*Q$3</f>
        <v>32297.338302717675</v>
      </c>
      <c r="R40" s="1035">
        <f t="shared" ref="R40" si="4">$L40*R$2*R$4</f>
        <v>73927.618607280892</v>
      </c>
      <c r="S40" s="996">
        <f>SUM(M40:R40)</f>
        <v>106224.95690999857</v>
      </c>
      <c r="T40" s="996">
        <f>$L40*$T$2*$T$4</f>
        <v>685023.68749364989</v>
      </c>
    </row>
    <row r="41" spans="1:20">
      <c r="A41" s="1058"/>
      <c r="B41" s="1270"/>
      <c r="C41" s="1270"/>
      <c r="D41" s="1266"/>
      <c r="E41" s="1266"/>
      <c r="I41" s="1114"/>
      <c r="S41" s="1104"/>
      <c r="T41" s="1104"/>
    </row>
    <row r="42" spans="1:20">
      <c r="A42" s="1050" t="s">
        <v>907</v>
      </c>
      <c r="B42" s="1269"/>
      <c r="C42" s="1269"/>
      <c r="D42" s="1265"/>
      <c r="I42" s="1114"/>
      <c r="S42" s="1104"/>
      <c r="T42" s="1104"/>
    </row>
    <row r="43" spans="1:20">
      <c r="A43" s="1051">
        <v>130</v>
      </c>
      <c r="B43" s="1218">
        <v>6</v>
      </c>
      <c r="C43" s="1280">
        <v>780</v>
      </c>
      <c r="D43" s="1274">
        <v>468</v>
      </c>
      <c r="E43" s="1274">
        <v>312</v>
      </c>
      <c r="I43" s="1114"/>
      <c r="S43" s="1104"/>
      <c r="T43" s="1104"/>
    </row>
    <row r="44" spans="1:20">
      <c r="A44" s="1051">
        <v>196</v>
      </c>
      <c r="B44" s="1218">
        <v>19</v>
      </c>
      <c r="C44" s="1280">
        <v>3724</v>
      </c>
      <c r="D44" s="1274">
        <v>1482</v>
      </c>
      <c r="E44" s="1274">
        <v>2242</v>
      </c>
      <c r="I44" s="1114"/>
      <c r="S44" s="1104"/>
      <c r="T44" s="1104"/>
    </row>
    <row r="45" spans="1:20">
      <c r="A45" s="1051">
        <v>225</v>
      </c>
      <c r="C45" s="1280"/>
      <c r="D45" s="1274"/>
      <c r="E45" s="1274"/>
      <c r="I45" s="1114"/>
      <c r="S45" s="1104"/>
      <c r="T45" s="1104"/>
    </row>
    <row r="46" spans="1:20">
      <c r="A46" s="1051">
        <v>246</v>
      </c>
      <c r="B46" s="1218">
        <v>8</v>
      </c>
      <c r="C46" s="1280">
        <v>1968</v>
      </c>
      <c r="D46" s="1274">
        <v>624</v>
      </c>
      <c r="E46" s="1274">
        <v>1344</v>
      </c>
      <c r="I46" s="1114"/>
      <c r="S46" s="1104"/>
      <c r="T46" s="1104"/>
    </row>
    <row r="47" spans="1:20">
      <c r="A47" s="1051">
        <v>305</v>
      </c>
      <c r="B47" s="1218">
        <v>1</v>
      </c>
      <c r="C47" s="1280">
        <v>305</v>
      </c>
      <c r="D47" s="1274">
        <v>78</v>
      </c>
      <c r="E47" s="1274">
        <v>227</v>
      </c>
      <c r="G47" s="1113">
        <v>78</v>
      </c>
      <c r="H47" s="1240">
        <v>34</v>
      </c>
      <c r="I47" s="1114">
        <f>H47*G47</f>
        <v>2652</v>
      </c>
      <c r="S47" s="1104"/>
      <c r="T47" s="1104"/>
    </row>
    <row r="48" spans="1:20">
      <c r="A48" s="1116" t="s">
        <v>920</v>
      </c>
      <c r="B48" s="1271">
        <f>SUM(B43:B47)</f>
        <v>34</v>
      </c>
      <c r="C48" s="1271">
        <f>SUM(C43:C47)</f>
        <v>6777</v>
      </c>
      <c r="D48" s="1267">
        <f>SUM(D43:D47)</f>
        <v>2652</v>
      </c>
      <c r="E48" s="1267">
        <f>SUM(E43:E47)</f>
        <v>4125</v>
      </c>
      <c r="H48" s="1233">
        <f>SUM(H45:H47)</f>
        <v>34</v>
      </c>
      <c r="I48" s="1115">
        <f>I47+I46+I45</f>
        <v>2652</v>
      </c>
      <c r="K48" s="993">
        <f>E48/1000</f>
        <v>4.125</v>
      </c>
      <c r="L48" s="993">
        <f>K48*$L$6</f>
        <v>3.7124999999999999</v>
      </c>
      <c r="M48" s="994"/>
      <c r="N48" s="1035"/>
      <c r="O48" s="1035"/>
      <c r="P48" s="1035"/>
      <c r="Q48" s="1035"/>
      <c r="R48" s="994">
        <f>$L48*R$2*R$3</f>
        <v>1114.0213518149815</v>
      </c>
      <c r="S48" s="996">
        <f>SUM(M48:R48)</f>
        <v>1114.0213518149815</v>
      </c>
      <c r="T48" s="996">
        <f>$L48*$T$2*$T$4</f>
        <v>15976.186874999998</v>
      </c>
    </row>
    <row r="49" spans="1:20">
      <c r="A49" s="1041"/>
      <c r="I49" s="1112"/>
      <c r="S49" s="1104"/>
      <c r="T49" s="1104"/>
    </row>
    <row r="50" spans="1:20">
      <c r="A50" s="1041"/>
      <c r="I50" s="1112"/>
      <c r="S50" s="1104"/>
      <c r="T50" s="1104"/>
    </row>
    <row r="51" spans="1:20">
      <c r="A51" s="1041"/>
      <c r="I51" s="1112"/>
      <c r="S51" s="1104"/>
      <c r="T51" s="1104"/>
    </row>
    <row r="52" spans="1:20" ht="30">
      <c r="A52" s="1117" t="s">
        <v>893</v>
      </c>
      <c r="B52" s="1272" t="s">
        <v>894</v>
      </c>
      <c r="C52" s="1272" t="s">
        <v>895</v>
      </c>
      <c r="D52" s="1268" t="s">
        <v>896</v>
      </c>
      <c r="E52" s="1268" t="s">
        <v>897</v>
      </c>
      <c r="I52" s="1112"/>
      <c r="K52" s="1118"/>
      <c r="L52" s="1119"/>
      <c r="S52" s="1104"/>
      <c r="T52" s="1104"/>
    </row>
    <row r="53" spans="1:20">
      <c r="A53" s="1044"/>
      <c r="I53" s="1112"/>
      <c r="K53" s="967"/>
      <c r="L53" s="1119"/>
      <c r="S53" s="1104"/>
      <c r="T53" s="1104"/>
    </row>
    <row r="54" spans="1:20">
      <c r="A54" s="1065">
        <v>130</v>
      </c>
      <c r="B54" s="1241">
        <f t="shared" ref="B54:E55" si="5">B7+B14+B22+B29+B36+B43</f>
        <v>205</v>
      </c>
      <c r="C54" s="1241">
        <f t="shared" si="5"/>
        <v>26650</v>
      </c>
      <c r="D54" s="1134">
        <f t="shared" si="5"/>
        <v>15762.07</v>
      </c>
      <c r="E54" s="1134">
        <f t="shared" si="5"/>
        <v>10887.93</v>
      </c>
      <c r="G54" s="1137"/>
      <c r="H54" s="1241"/>
      <c r="I54" s="1135"/>
      <c r="L54" s="1119"/>
      <c r="S54" s="1104"/>
      <c r="T54" s="1104"/>
    </row>
    <row r="55" spans="1:20">
      <c r="A55" s="1065">
        <v>196</v>
      </c>
      <c r="B55" s="1241">
        <f t="shared" si="5"/>
        <v>1861</v>
      </c>
      <c r="C55" s="1241">
        <f t="shared" si="5"/>
        <v>364756</v>
      </c>
      <c r="D55" s="1134">
        <f t="shared" si="5"/>
        <v>143716.81000000003</v>
      </c>
      <c r="E55" s="1134">
        <f t="shared" si="5"/>
        <v>221039.18999999997</v>
      </c>
      <c r="G55" s="1137"/>
      <c r="H55" s="1241"/>
      <c r="I55" s="1135"/>
      <c r="L55" s="1119"/>
      <c r="S55" s="1104"/>
      <c r="T55" s="1104"/>
    </row>
    <row r="56" spans="1:20">
      <c r="A56" s="1065">
        <v>225</v>
      </c>
      <c r="B56" s="1241">
        <f>B16+B45</f>
        <v>2</v>
      </c>
      <c r="C56" s="1241">
        <f>C16+C45</f>
        <v>450</v>
      </c>
      <c r="D56" s="1134">
        <f>D16+D45</f>
        <v>156</v>
      </c>
      <c r="E56" s="1134">
        <f>E16+E45</f>
        <v>294</v>
      </c>
      <c r="G56" s="1138">
        <v>68.09</v>
      </c>
      <c r="H56" s="1241">
        <f>SUMIF($G$6:$G$48,$G56,H$6:H$48)</f>
        <v>232</v>
      </c>
      <c r="I56" s="1136">
        <f>SUMIF($G$6:$G$48,$G56,I$6:I$48)</f>
        <v>15796.880000000003</v>
      </c>
      <c r="J56" s="1120"/>
      <c r="L56" s="1119"/>
      <c r="S56" s="1104"/>
      <c r="T56" s="1104"/>
    </row>
    <row r="57" spans="1:20">
      <c r="A57" s="1065">
        <v>246</v>
      </c>
      <c r="B57" s="1241">
        <f t="shared" ref="B57:E58" si="6">B9+B17+B24+B31+B38+B46</f>
        <v>1214</v>
      </c>
      <c r="C57" s="1241">
        <f t="shared" si="6"/>
        <v>298644</v>
      </c>
      <c r="D57" s="1134">
        <f t="shared" si="6"/>
        <v>95700</v>
      </c>
      <c r="E57" s="1134">
        <f t="shared" si="6"/>
        <v>202944</v>
      </c>
      <c r="G57" s="1138">
        <v>78</v>
      </c>
      <c r="H57" s="1241">
        <f t="shared" ref="H57:I58" si="7">SUMIF($G$6:$G$48,$G57,H$6:H$48)</f>
        <v>3234</v>
      </c>
      <c r="I57" s="1136">
        <f t="shared" si="7"/>
        <v>252252</v>
      </c>
      <c r="J57" s="1120"/>
      <c r="L57" s="1119"/>
      <c r="S57" s="1104"/>
      <c r="T57" s="1104"/>
    </row>
    <row r="58" spans="1:20">
      <c r="A58" s="1065">
        <v>305</v>
      </c>
      <c r="B58" s="1241">
        <f t="shared" si="6"/>
        <v>298</v>
      </c>
      <c r="C58" s="1241">
        <f t="shared" si="6"/>
        <v>90890</v>
      </c>
      <c r="D58" s="1134">
        <f t="shared" si="6"/>
        <v>26394</v>
      </c>
      <c r="E58" s="1134">
        <f t="shared" si="6"/>
        <v>64496</v>
      </c>
      <c r="G58" s="1138">
        <v>120</v>
      </c>
      <c r="H58" s="1241">
        <f t="shared" si="7"/>
        <v>114</v>
      </c>
      <c r="I58" s="1136">
        <f t="shared" si="7"/>
        <v>13680</v>
      </c>
      <c r="J58" s="1120"/>
      <c r="L58" s="1119"/>
      <c r="S58" s="1104"/>
      <c r="T58" s="1104"/>
    </row>
    <row r="59" spans="1:20" ht="15.75" thickBot="1">
      <c r="A59" s="1132" t="s">
        <v>918</v>
      </c>
      <c r="B59" s="1242">
        <f>SUM(B54:B58)</f>
        <v>3580</v>
      </c>
      <c r="C59" s="1242">
        <f>SUM(C54:C58)</f>
        <v>781390</v>
      </c>
      <c r="D59" s="1231">
        <f>SUM(D54:D58)</f>
        <v>281728.88</v>
      </c>
      <c r="E59" s="1238">
        <f>SUM(E54:E58)</f>
        <v>499661.12</v>
      </c>
      <c r="G59" s="1137"/>
      <c r="H59" s="1242">
        <f t="shared" ref="H59:I59" si="8">SUM(H54:H58)</f>
        <v>3580</v>
      </c>
      <c r="I59" s="1133">
        <f t="shared" si="8"/>
        <v>281728.88</v>
      </c>
      <c r="K59" s="1002">
        <f>E59/1000</f>
        <v>499.66111999999998</v>
      </c>
      <c r="L59" s="1002">
        <f>K59*$L$6</f>
        <v>449.69500799999997</v>
      </c>
      <c r="M59" s="1002">
        <f>SUM(M4:M50)</f>
        <v>1201.1308146345993</v>
      </c>
      <c r="N59" s="1002">
        <f t="shared" ref="N59:T59" si="9">SUM(N4:N50)</f>
        <v>15430.86257928687</v>
      </c>
      <c r="O59" s="1002">
        <f t="shared" si="9"/>
        <v>44365.304943464987</v>
      </c>
      <c r="P59" s="1002">
        <f t="shared" si="9"/>
        <v>91743.25395495999</v>
      </c>
      <c r="Q59" s="1002">
        <f t="shared" si="9"/>
        <v>155349.63594932109</v>
      </c>
      <c r="R59" s="1002">
        <f t="shared" si="9"/>
        <v>208266.7311089015</v>
      </c>
      <c r="S59" s="1121">
        <f t="shared" si="9"/>
        <v>516172.91935056902</v>
      </c>
      <c r="T59" s="1121">
        <f t="shared" si="9"/>
        <v>1935560.0126767994</v>
      </c>
    </row>
    <row r="60" spans="1:20" ht="15.75" thickTop="1">
      <c r="A60" s="1122"/>
      <c r="B60" s="1264"/>
      <c r="C60" s="1264"/>
      <c r="D60" s="1262"/>
      <c r="E60" s="1262"/>
      <c r="F60" s="1123"/>
      <c r="G60" s="1098"/>
      <c r="H60" s="1228"/>
      <c r="I60" s="1124"/>
      <c r="L60" s="1119"/>
    </row>
    <row r="61" spans="1:20">
      <c r="A61" s="1125"/>
      <c r="B61" s="1270"/>
      <c r="C61" s="1270"/>
      <c r="D61" s="1266"/>
      <c r="E61" s="1266"/>
      <c r="L61" s="1119"/>
    </row>
    <row r="62" spans="1:20">
      <c r="A62" s="1125"/>
      <c r="B62" s="1270"/>
      <c r="C62" s="1270"/>
      <c r="D62" s="1266"/>
      <c r="E62" s="1266"/>
    </row>
    <row r="63" spans="1:20">
      <c r="A63" s="983"/>
      <c r="B63" s="1270"/>
      <c r="C63" s="1270"/>
      <c r="D63" s="1266"/>
      <c r="E63" s="1266"/>
      <c r="I63" s="1126"/>
    </row>
    <row r="64" spans="1:20" ht="15.75">
      <c r="A64" s="1108"/>
      <c r="B64" s="1263"/>
      <c r="C64" s="1278"/>
      <c r="D64" s="1282"/>
      <c r="E64" s="1261"/>
      <c r="I64" s="1126"/>
    </row>
    <row r="65" spans="1:10">
      <c r="B65" s="1263"/>
      <c r="C65" s="1279"/>
      <c r="D65" s="1273"/>
      <c r="E65" s="1273"/>
      <c r="I65" s="1126"/>
    </row>
    <row r="66" spans="1:10">
      <c r="A66" s="967"/>
      <c r="B66" s="1272"/>
      <c r="C66" s="1272"/>
      <c r="D66" s="1268"/>
      <c r="E66" s="1268"/>
      <c r="F66" s="977"/>
      <c r="I66" s="1126"/>
    </row>
    <row r="67" spans="1:10">
      <c r="B67" s="1270"/>
      <c r="C67" s="1270"/>
      <c r="D67" s="1266"/>
      <c r="E67" s="1266"/>
      <c r="I67" s="1126"/>
    </row>
    <row r="68" spans="1:10">
      <c r="H68" s="1243"/>
      <c r="I68" s="1126"/>
    </row>
    <row r="69" spans="1:10">
      <c r="I69" s="1126"/>
    </row>
    <row r="70" spans="1:10">
      <c r="I70" s="1126"/>
    </row>
    <row r="71" spans="1:10">
      <c r="I71" s="1126"/>
    </row>
    <row r="72" spans="1:10">
      <c r="I72" s="1126"/>
    </row>
    <row r="73" spans="1:10">
      <c r="I73" s="1126"/>
    </row>
    <row r="74" spans="1:10">
      <c r="F74" s="1127"/>
      <c r="H74" s="1243"/>
      <c r="I74" s="1128"/>
    </row>
    <row r="75" spans="1:10">
      <c r="I75" s="1126"/>
    </row>
    <row r="76" spans="1:10">
      <c r="A76" s="978"/>
      <c r="I76" s="1126"/>
    </row>
    <row r="77" spans="1:10">
      <c r="A77" s="980"/>
      <c r="C77" s="1280"/>
      <c r="D77" s="1274"/>
      <c r="E77" s="1274"/>
      <c r="H77" s="1243"/>
      <c r="I77" s="1126"/>
    </row>
    <row r="78" spans="1:10">
      <c r="A78" s="980"/>
      <c r="C78" s="1280"/>
      <c r="D78" s="1274"/>
      <c r="E78" s="1274"/>
      <c r="I78" s="1126"/>
    </row>
    <row r="79" spans="1:10">
      <c r="A79" s="980"/>
      <c r="C79" s="1280"/>
      <c r="D79" s="1274"/>
      <c r="E79" s="1274"/>
      <c r="I79" s="1126"/>
    </row>
    <row r="80" spans="1:10">
      <c r="A80" s="980"/>
      <c r="C80" s="1280"/>
      <c r="D80" s="1274"/>
      <c r="E80" s="1274"/>
      <c r="I80" s="1126"/>
      <c r="J80" s="989"/>
    </row>
    <row r="81" spans="1:10">
      <c r="A81" s="980"/>
      <c r="C81" s="1280"/>
      <c r="D81" s="1274"/>
      <c r="E81" s="1274"/>
      <c r="I81" s="1126"/>
    </row>
    <row r="82" spans="1:10">
      <c r="A82" s="978"/>
      <c r="B82" s="1219"/>
      <c r="C82" s="1281"/>
      <c r="D82" s="1275"/>
      <c r="E82" s="1275"/>
      <c r="F82" s="999"/>
      <c r="H82" s="1243"/>
      <c r="I82" s="1128"/>
      <c r="J82" s="1129"/>
    </row>
    <row r="83" spans="1:10" ht="14.45" customHeight="1">
      <c r="A83" s="980"/>
      <c r="C83" s="1130"/>
      <c r="D83" s="1276"/>
      <c r="E83" s="1276"/>
      <c r="I83" s="1126"/>
    </row>
    <row r="84" spans="1:10" ht="14.45" customHeight="1">
      <c r="A84" s="980"/>
      <c r="C84" s="1130"/>
      <c r="D84" s="1276"/>
      <c r="E84" s="1276"/>
      <c r="I84" s="1126"/>
    </row>
    <row r="85" spans="1:10" ht="14.45" customHeight="1">
      <c r="A85" s="980"/>
      <c r="C85" s="1130"/>
      <c r="D85" s="1276"/>
      <c r="E85" s="1276"/>
      <c r="I85" s="1126"/>
    </row>
    <row r="86" spans="1:10" ht="14.45" customHeight="1">
      <c r="A86" s="980"/>
      <c r="C86" s="1130"/>
      <c r="D86" s="1276"/>
      <c r="E86" s="1276"/>
      <c r="I86" s="1126"/>
    </row>
    <row r="87" spans="1:10" ht="14.45" customHeight="1">
      <c r="A87" s="980"/>
      <c r="C87" s="1130"/>
      <c r="D87" s="1276"/>
      <c r="E87" s="1276"/>
      <c r="I87" s="1126"/>
    </row>
    <row r="88" spans="1:10" ht="14.45" customHeight="1">
      <c r="A88" s="980"/>
      <c r="C88" s="1130"/>
      <c r="D88" s="1276"/>
      <c r="E88" s="1276"/>
      <c r="I88" s="1126"/>
    </row>
    <row r="89" spans="1:10" ht="14.45" customHeight="1">
      <c r="A89" s="980"/>
      <c r="C89" s="1130"/>
      <c r="D89" s="1276"/>
      <c r="E89" s="1276"/>
      <c r="I89" s="1126"/>
    </row>
    <row r="90" spans="1:10" ht="14.45" customHeight="1">
      <c r="D90" s="1126"/>
      <c r="E90" s="1126"/>
      <c r="I90" s="1126"/>
    </row>
    <row r="91" spans="1:10" ht="14.45" customHeight="1">
      <c r="C91" s="1130"/>
      <c r="D91" s="1276"/>
      <c r="E91" s="1276"/>
      <c r="I91" s="1126"/>
    </row>
    <row r="92" spans="1:10" ht="14.45" customHeight="1">
      <c r="A92" s="983"/>
      <c r="B92" s="1269"/>
      <c r="C92" s="1269"/>
      <c r="D92" s="1283"/>
      <c r="E92" s="1283"/>
      <c r="I92" s="1126"/>
    </row>
    <row r="93" spans="1:10" ht="14.45" customHeight="1">
      <c r="A93" s="980"/>
      <c r="C93" s="1131"/>
      <c r="D93" s="1277"/>
      <c r="E93" s="1277"/>
      <c r="I93" s="1126"/>
    </row>
    <row r="94" spans="1:10" ht="14.45" customHeight="1">
      <c r="A94" s="980"/>
      <c r="C94" s="1131"/>
      <c r="D94" s="1277"/>
      <c r="E94" s="1277"/>
      <c r="I94" s="1126"/>
    </row>
    <row r="95" spans="1:10" ht="14.45" customHeight="1">
      <c r="A95" s="980"/>
      <c r="C95" s="1131"/>
      <c r="D95" s="1277"/>
      <c r="E95" s="1277"/>
      <c r="I95" s="1126"/>
    </row>
    <row r="96" spans="1:10" ht="14.45" customHeight="1">
      <c r="A96" s="980"/>
      <c r="C96" s="1131"/>
      <c r="D96" s="1277"/>
      <c r="E96" s="1277"/>
      <c r="I96" s="1126"/>
    </row>
    <row r="97" spans="1:9" ht="14.45" customHeight="1">
      <c r="A97" s="980"/>
      <c r="C97" s="1131"/>
      <c r="D97" s="1277"/>
      <c r="E97" s="1277"/>
      <c r="I97" s="1126"/>
    </row>
    <row r="98" spans="1:9" ht="14.45" customHeight="1">
      <c r="A98" s="980"/>
      <c r="C98" s="1131"/>
      <c r="D98" s="1277"/>
      <c r="E98" s="1277"/>
      <c r="I98" s="1126"/>
    </row>
    <row r="99" spans="1:9" ht="14.45" customHeight="1">
      <c r="A99" s="980"/>
      <c r="C99" s="1131"/>
      <c r="D99" s="1277"/>
      <c r="E99" s="1277"/>
      <c r="I99" s="1126"/>
    </row>
    <row r="100" spans="1:9" ht="14.45" customHeight="1">
      <c r="A100" s="980"/>
      <c r="C100" s="1131"/>
      <c r="D100" s="1277"/>
      <c r="E100" s="1277"/>
      <c r="I100" s="1126"/>
    </row>
    <row r="101" spans="1:9" ht="14.45" customHeight="1">
      <c r="A101" s="980"/>
      <c r="C101" s="1131"/>
      <c r="D101" s="1277"/>
      <c r="E101" s="1277"/>
      <c r="I101" s="1126"/>
    </row>
    <row r="102" spans="1:9" ht="14.45" customHeight="1">
      <c r="A102" s="980"/>
      <c r="C102" s="1131"/>
      <c r="D102" s="1277"/>
      <c r="E102" s="1277"/>
      <c r="I102" s="1126"/>
    </row>
    <row r="103" spans="1:9" ht="14.45" customHeight="1">
      <c r="I103" s="1126"/>
    </row>
    <row r="104" spans="1:9" ht="14.45" customHeight="1">
      <c r="I104" s="1126"/>
    </row>
    <row r="105" spans="1:9" ht="14.45" customHeight="1">
      <c r="I105" s="1126"/>
    </row>
    <row r="106" spans="1:9" ht="14.45" customHeight="1">
      <c r="I106" s="1126"/>
    </row>
    <row r="107" spans="1:9" ht="14.45" customHeight="1">
      <c r="A107" s="980"/>
      <c r="I107" s="1126"/>
    </row>
    <row r="108" spans="1:9" ht="14.45" customHeight="1">
      <c r="A108" s="980"/>
      <c r="I108" s="1126"/>
    </row>
    <row r="109" spans="1:9" ht="14.45" customHeight="1">
      <c r="A109" s="980"/>
      <c r="I109" s="1126"/>
    </row>
    <row r="110" spans="1:9" ht="14.45" customHeight="1">
      <c r="A110" s="980"/>
      <c r="I110" s="1126"/>
    </row>
    <row r="111" spans="1:9" ht="14.45" customHeight="1">
      <c r="A111" s="980"/>
      <c r="I111" s="1126"/>
    </row>
    <row r="112" spans="1:9" ht="14.45" customHeight="1">
      <c r="A112" s="980"/>
      <c r="I112" s="1126"/>
    </row>
    <row r="113" spans="1:9" ht="14.45" customHeight="1">
      <c r="A113" s="980"/>
      <c r="I113" s="1126"/>
    </row>
    <row r="114" spans="1:9" ht="14.45" customHeight="1">
      <c r="A114" s="980"/>
      <c r="I114" s="1126"/>
    </row>
    <row r="115" spans="1:9" ht="14.45" customHeight="1"/>
    <row r="116" spans="1:9" ht="14.45" customHeight="1"/>
    <row r="117" spans="1:9" ht="14.45" customHeight="1"/>
    <row r="118" spans="1:9" ht="14.45" customHeight="1"/>
    <row r="119" spans="1:9" ht="14.45" customHeight="1"/>
    <row r="120" spans="1:9" ht="14.45" customHeight="1"/>
  </sheetData>
  <mergeCells count="1">
    <mergeCell ref="A1:E1"/>
  </mergeCells>
  <pageMargins left="0.70866141732283472" right="0.70866141732283472" top="0.74803149606299213" bottom="0.74803149606299213" header="0.31496062992125984" footer="0.31496062992125984"/>
  <pageSetup scale="74" orientation="portrait" r:id="rId1"/>
  <rowBreaks count="2" manualBreakCount="2">
    <brk id="12" max="16383" man="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sqref="A1:XFD1048576"/>
    </sheetView>
  </sheetViews>
  <sheetFormatPr defaultColWidth="9" defaultRowHeight="15"/>
  <cols>
    <col min="1" max="1" width="9" style="12"/>
    <col min="2" max="2" width="37" style="698" customWidth="1"/>
    <col min="3" max="3" width="9" style="10"/>
    <col min="4" max="16384" width="9" style="12"/>
  </cols>
  <sheetData>
    <row r="16" spans="2:21" ht="26.25" customHeight="1">
      <c r="B16" s="699" t="s">
        <v>561</v>
      </c>
      <c r="C16" s="1143" t="s">
        <v>505</v>
      </c>
      <c r="D16" s="1144"/>
      <c r="E16" s="1144"/>
      <c r="F16" s="1144"/>
      <c r="G16" s="1144"/>
      <c r="H16" s="1144"/>
      <c r="I16" s="1144"/>
      <c r="J16" s="1144"/>
      <c r="K16" s="1144"/>
      <c r="L16" s="1144"/>
      <c r="M16" s="1144"/>
      <c r="N16" s="1144"/>
      <c r="O16" s="1144"/>
      <c r="P16" s="1144"/>
      <c r="Q16" s="1144"/>
      <c r="R16" s="1144"/>
      <c r="S16" s="1144"/>
      <c r="T16" s="1144"/>
      <c r="U16" s="1144"/>
    </row>
    <row r="17" spans="2:21" ht="55.5" customHeight="1">
      <c r="B17" s="700" t="s">
        <v>630</v>
      </c>
      <c r="C17" s="1145" t="s">
        <v>714</v>
      </c>
      <c r="D17" s="1145"/>
      <c r="E17" s="1145"/>
      <c r="F17" s="1145"/>
      <c r="G17" s="1145"/>
      <c r="H17" s="1145"/>
      <c r="I17" s="1145"/>
      <c r="J17" s="1145"/>
      <c r="K17" s="1145"/>
      <c r="L17" s="1145"/>
      <c r="M17" s="1145"/>
      <c r="N17" s="1145"/>
      <c r="O17" s="1145"/>
      <c r="P17" s="1145"/>
      <c r="Q17" s="1145"/>
      <c r="R17" s="1145"/>
      <c r="S17" s="1145"/>
      <c r="T17" s="1145"/>
      <c r="U17" s="1146"/>
    </row>
    <row r="18" spans="2:21" ht="15.75">
      <c r="B18" s="701"/>
      <c r="C18" s="702"/>
      <c r="D18" s="703"/>
      <c r="E18" s="703"/>
      <c r="F18" s="703"/>
      <c r="G18" s="703"/>
      <c r="H18" s="703"/>
      <c r="I18" s="703"/>
      <c r="J18" s="703"/>
      <c r="K18" s="703"/>
      <c r="L18" s="703"/>
      <c r="M18" s="703"/>
      <c r="N18" s="703"/>
      <c r="O18" s="703"/>
      <c r="P18" s="703"/>
      <c r="Q18" s="703"/>
      <c r="R18" s="703"/>
      <c r="S18" s="703"/>
      <c r="T18" s="703"/>
      <c r="U18" s="704"/>
    </row>
    <row r="19" spans="2:21" ht="15.75">
      <c r="B19" s="701"/>
      <c r="C19" s="702" t="s">
        <v>634</v>
      </c>
      <c r="D19" s="703"/>
      <c r="E19" s="703"/>
      <c r="F19" s="703"/>
      <c r="G19" s="703"/>
      <c r="H19" s="703"/>
      <c r="I19" s="703"/>
      <c r="J19" s="703"/>
      <c r="K19" s="703"/>
      <c r="L19" s="703"/>
      <c r="M19" s="703"/>
      <c r="N19" s="703"/>
      <c r="O19" s="703"/>
      <c r="P19" s="703"/>
      <c r="Q19" s="703"/>
      <c r="R19" s="703"/>
      <c r="S19" s="703"/>
      <c r="T19" s="703"/>
      <c r="U19" s="704"/>
    </row>
    <row r="20" spans="2:21" ht="15.75">
      <c r="B20" s="701"/>
      <c r="C20" s="702"/>
      <c r="D20" s="703"/>
      <c r="E20" s="703"/>
      <c r="F20" s="703"/>
      <c r="G20" s="703"/>
      <c r="H20" s="703"/>
      <c r="I20" s="703"/>
      <c r="J20" s="703"/>
      <c r="K20" s="703"/>
      <c r="L20" s="703"/>
      <c r="M20" s="703"/>
      <c r="N20" s="703"/>
      <c r="O20" s="703"/>
      <c r="P20" s="703"/>
      <c r="Q20" s="703"/>
      <c r="R20" s="703"/>
      <c r="S20" s="703"/>
      <c r="T20" s="703"/>
      <c r="U20" s="704"/>
    </row>
    <row r="21" spans="2:21" ht="15.75">
      <c r="B21" s="701"/>
      <c r="C21" s="702" t="s">
        <v>631</v>
      </c>
      <c r="D21" s="703"/>
      <c r="E21" s="703"/>
      <c r="F21" s="703"/>
      <c r="G21" s="703"/>
      <c r="H21" s="703"/>
      <c r="I21" s="703"/>
      <c r="J21" s="703"/>
      <c r="K21" s="703"/>
      <c r="L21" s="703"/>
      <c r="M21" s="703"/>
      <c r="N21" s="703"/>
      <c r="O21" s="703"/>
      <c r="P21" s="703"/>
      <c r="Q21" s="703"/>
      <c r="R21" s="703"/>
      <c r="S21" s="703"/>
      <c r="T21" s="703"/>
      <c r="U21" s="704"/>
    </row>
    <row r="22" spans="2:21" ht="15.75">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1142" t="s">
        <v>632</v>
      </c>
      <c r="D23" s="1142"/>
      <c r="E23" s="1142"/>
      <c r="F23" s="1142"/>
      <c r="G23" s="1142"/>
      <c r="H23" s="1142"/>
      <c r="I23" s="1142"/>
      <c r="J23" s="1142"/>
      <c r="K23" s="1142"/>
      <c r="L23" s="1142"/>
      <c r="M23" s="1142"/>
      <c r="N23" s="1142"/>
      <c r="O23" s="1142"/>
      <c r="P23" s="1142"/>
      <c r="Q23" s="1142"/>
      <c r="R23" s="1142"/>
      <c r="S23" s="1142"/>
      <c r="T23" s="703"/>
      <c r="U23" s="704"/>
    </row>
    <row r="24" spans="2:21" ht="15.75">
      <c r="B24" s="701"/>
      <c r="C24" s="702"/>
      <c r="D24" s="703"/>
      <c r="E24" s="703"/>
      <c r="F24" s="703"/>
      <c r="G24" s="703"/>
      <c r="H24" s="703"/>
      <c r="I24" s="703"/>
      <c r="J24" s="703"/>
      <c r="K24" s="703"/>
      <c r="L24" s="703"/>
      <c r="M24" s="703"/>
      <c r="N24" s="703"/>
      <c r="O24" s="703"/>
      <c r="P24" s="703"/>
      <c r="Q24" s="703"/>
      <c r="R24" s="703"/>
      <c r="S24" s="703"/>
      <c r="T24" s="703"/>
      <c r="U24" s="704"/>
    </row>
    <row r="25" spans="2:21" ht="15.75">
      <c r="B25" s="701"/>
      <c r="C25" s="702" t="s">
        <v>635</v>
      </c>
      <c r="D25" s="703"/>
      <c r="E25" s="703"/>
      <c r="F25" s="703"/>
      <c r="G25" s="703"/>
      <c r="H25" s="703"/>
      <c r="I25" s="703"/>
      <c r="J25" s="703"/>
      <c r="K25" s="703"/>
      <c r="L25" s="703"/>
      <c r="M25" s="703"/>
      <c r="N25" s="703"/>
      <c r="O25" s="703"/>
      <c r="P25" s="703"/>
      <c r="Q25" s="703"/>
      <c r="R25" s="703"/>
      <c r="S25" s="703"/>
      <c r="T25" s="703"/>
      <c r="U25" s="704"/>
    </row>
    <row r="26" spans="2:21" ht="15.75">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1142" t="s">
        <v>633</v>
      </c>
      <c r="D27" s="1142"/>
      <c r="E27" s="1142"/>
      <c r="F27" s="1142"/>
      <c r="G27" s="1142"/>
      <c r="H27" s="1142"/>
      <c r="I27" s="1142"/>
      <c r="J27" s="1142"/>
      <c r="K27" s="1142"/>
      <c r="L27" s="1142"/>
      <c r="M27" s="1142"/>
      <c r="N27" s="1142"/>
      <c r="O27" s="1142"/>
      <c r="P27" s="1142"/>
      <c r="Q27" s="1142"/>
      <c r="R27" s="1142"/>
      <c r="S27" s="1142"/>
      <c r="T27" s="1142"/>
      <c r="U27" s="1147"/>
    </row>
    <row r="28" spans="2:21" ht="15.75">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1142" t="s">
        <v>636</v>
      </c>
      <c r="D29" s="1142"/>
      <c r="E29" s="1142"/>
      <c r="F29" s="1142"/>
      <c r="G29" s="1142"/>
      <c r="H29" s="1142"/>
      <c r="I29" s="1142"/>
      <c r="J29" s="1142"/>
      <c r="K29" s="1142"/>
      <c r="L29" s="1142"/>
      <c r="M29" s="1142"/>
      <c r="N29" s="1142"/>
      <c r="O29" s="1142"/>
      <c r="P29" s="1142"/>
      <c r="Q29" s="1142"/>
      <c r="R29" s="1142"/>
      <c r="S29" s="1142"/>
      <c r="T29" s="1142"/>
      <c r="U29" s="1147"/>
    </row>
    <row r="30" spans="2:21" ht="15.75">
      <c r="B30" s="701"/>
      <c r="C30" s="702"/>
      <c r="D30" s="703"/>
      <c r="E30" s="703"/>
      <c r="F30" s="703"/>
      <c r="G30" s="703"/>
      <c r="H30" s="703"/>
      <c r="I30" s="703"/>
      <c r="J30" s="703"/>
      <c r="K30" s="703"/>
      <c r="L30" s="703"/>
      <c r="M30" s="703"/>
      <c r="N30" s="703"/>
      <c r="O30" s="703"/>
      <c r="P30" s="703"/>
      <c r="Q30" s="703"/>
      <c r="R30" s="703"/>
      <c r="S30" s="703"/>
      <c r="T30" s="703"/>
      <c r="U30" s="704"/>
    </row>
    <row r="31" spans="2:21" ht="15.75">
      <c r="B31" s="701"/>
      <c r="C31" s="702" t="s">
        <v>637</v>
      </c>
      <c r="D31" s="703"/>
      <c r="E31" s="703"/>
      <c r="F31" s="703"/>
      <c r="G31" s="703"/>
      <c r="H31" s="703"/>
      <c r="I31" s="703"/>
      <c r="J31" s="703"/>
      <c r="K31" s="703"/>
      <c r="L31" s="703"/>
      <c r="M31" s="703"/>
      <c r="N31" s="703"/>
      <c r="O31" s="703"/>
      <c r="P31" s="703"/>
      <c r="Q31" s="703"/>
      <c r="R31" s="703"/>
      <c r="S31" s="703"/>
      <c r="T31" s="703"/>
      <c r="U31" s="704"/>
    </row>
    <row r="32" spans="2:21" ht="15.75">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638</v>
      </c>
      <c r="C33" s="1148" t="s">
        <v>639</v>
      </c>
      <c r="D33" s="1148"/>
      <c r="E33" s="1148"/>
      <c r="F33" s="1148"/>
      <c r="G33" s="1148"/>
      <c r="H33" s="1148"/>
      <c r="I33" s="1148"/>
      <c r="J33" s="1148"/>
      <c r="K33" s="1148"/>
      <c r="L33" s="1148"/>
      <c r="M33" s="1148"/>
      <c r="N33" s="1148"/>
      <c r="O33" s="1148"/>
      <c r="P33" s="1148"/>
      <c r="Q33" s="1148"/>
      <c r="R33" s="1148"/>
      <c r="S33" s="1148"/>
      <c r="T33" s="1148"/>
      <c r="U33" s="1149"/>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5.75">
      <c r="B35" s="713" t="s">
        <v>640</v>
      </c>
      <c r="C35" s="714" t="s">
        <v>641</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642</v>
      </c>
      <c r="C37" s="1150" t="s">
        <v>643</v>
      </c>
      <c r="D37" s="1150"/>
      <c r="E37" s="1150"/>
      <c r="F37" s="1150"/>
      <c r="G37" s="1150"/>
      <c r="H37" s="1150"/>
      <c r="I37" s="1150"/>
      <c r="J37" s="1150"/>
      <c r="K37" s="1150"/>
      <c r="L37" s="1150"/>
      <c r="M37" s="1150"/>
      <c r="N37" s="1150"/>
      <c r="O37" s="1150"/>
      <c r="P37" s="1150"/>
      <c r="Q37" s="1150"/>
      <c r="R37" s="1150"/>
      <c r="S37" s="1150"/>
      <c r="T37" s="1150"/>
      <c r="U37" s="1151"/>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5.75">
      <c r="B39" s="700" t="s">
        <v>644</v>
      </c>
      <c r="C39" s="716" t="s">
        <v>645</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ht="38.25" customHeight="1">
      <c r="B41" s="709" t="s">
        <v>646</v>
      </c>
      <c r="C41" s="1152" t="s">
        <v>647</v>
      </c>
      <c r="D41" s="1152"/>
      <c r="E41" s="1152"/>
      <c r="F41" s="1152"/>
      <c r="G41" s="1152"/>
      <c r="H41" s="1152"/>
      <c r="I41" s="1152"/>
      <c r="J41" s="1152"/>
      <c r="K41" s="1152"/>
      <c r="L41" s="1152"/>
      <c r="M41" s="1152"/>
      <c r="N41" s="1152"/>
      <c r="O41" s="1152"/>
      <c r="P41" s="1152"/>
      <c r="Q41" s="1152"/>
      <c r="R41" s="1152"/>
      <c r="S41" s="1152"/>
      <c r="T41" s="1152"/>
      <c r="U41" s="1153"/>
    </row>
    <row r="42" spans="2:21">
      <c r="B42" s="717"/>
      <c r="C42" s="711"/>
      <c r="D42" s="711"/>
      <c r="E42" s="711"/>
      <c r="F42" s="711"/>
      <c r="G42" s="711"/>
      <c r="H42" s="711"/>
      <c r="I42" s="711"/>
      <c r="J42" s="711"/>
      <c r="K42" s="711"/>
      <c r="L42" s="711"/>
      <c r="M42" s="711"/>
      <c r="N42" s="711"/>
      <c r="O42" s="711"/>
      <c r="P42" s="711"/>
      <c r="Q42" s="711"/>
      <c r="R42" s="711"/>
      <c r="S42" s="711"/>
      <c r="T42" s="711"/>
      <c r="U42" s="712"/>
    </row>
    <row r="43" spans="2:21" ht="15.75">
      <c r="B43" s="713" t="s">
        <v>648</v>
      </c>
      <c r="C43" s="714" t="s">
        <v>649</v>
      </c>
      <c r="D43" s="703"/>
      <c r="E43" s="703"/>
      <c r="F43" s="703"/>
      <c r="G43" s="703"/>
      <c r="H43" s="703"/>
      <c r="I43" s="703"/>
      <c r="J43" s="703"/>
      <c r="K43" s="703"/>
      <c r="L43" s="703"/>
      <c r="M43" s="703"/>
      <c r="N43" s="703"/>
      <c r="O43" s="703"/>
      <c r="P43" s="703"/>
      <c r="Q43" s="703"/>
      <c r="R43" s="703"/>
      <c r="S43" s="703"/>
      <c r="T43" s="703"/>
      <c r="U43" s="704"/>
    </row>
    <row r="44" spans="2:21">
      <c r="B44" s="718"/>
      <c r="C44" s="703"/>
      <c r="D44" s="703"/>
      <c r="E44" s="703"/>
      <c r="F44" s="703"/>
      <c r="G44" s="703"/>
      <c r="H44" s="703"/>
      <c r="I44" s="703"/>
      <c r="J44" s="703"/>
      <c r="K44" s="703"/>
      <c r="L44" s="703"/>
      <c r="M44" s="703"/>
      <c r="N44" s="703"/>
      <c r="O44" s="703"/>
      <c r="P44" s="703"/>
      <c r="Q44" s="703"/>
      <c r="R44" s="703"/>
      <c r="S44" s="703"/>
      <c r="T44" s="703"/>
      <c r="U44" s="704"/>
    </row>
    <row r="45" spans="2:21" ht="36" customHeight="1">
      <c r="B45" s="718"/>
      <c r="C45" s="1140" t="s">
        <v>665</v>
      </c>
      <c r="D45" s="1140"/>
      <c r="E45" s="1140"/>
      <c r="F45" s="1140"/>
      <c r="G45" s="1140"/>
      <c r="H45" s="1140"/>
      <c r="I45" s="1140"/>
      <c r="J45" s="1140"/>
      <c r="K45" s="1140"/>
      <c r="L45" s="1140"/>
      <c r="M45" s="1140"/>
      <c r="N45" s="1140"/>
      <c r="O45" s="1140"/>
      <c r="P45" s="1140"/>
      <c r="Q45" s="1140"/>
      <c r="R45" s="1140"/>
      <c r="S45" s="1140"/>
      <c r="T45" s="1140"/>
      <c r="U45" s="1141"/>
    </row>
    <row r="46" spans="2:21">
      <c r="B46" s="718"/>
      <c r="C46" s="719"/>
      <c r="D46" s="703"/>
      <c r="E46" s="703"/>
      <c r="F46" s="703"/>
      <c r="G46" s="703"/>
      <c r="H46" s="703"/>
      <c r="I46" s="703"/>
      <c r="J46" s="703"/>
      <c r="K46" s="703"/>
      <c r="L46" s="703"/>
      <c r="M46" s="703"/>
      <c r="N46" s="703"/>
      <c r="O46" s="703"/>
      <c r="P46" s="703"/>
      <c r="Q46" s="703"/>
      <c r="R46" s="703"/>
      <c r="S46" s="703"/>
      <c r="T46" s="703"/>
      <c r="U46" s="704"/>
    </row>
    <row r="47" spans="2:21" ht="35.25" customHeight="1">
      <c r="B47" s="718"/>
      <c r="C47" s="1140" t="s">
        <v>650</v>
      </c>
      <c r="D47" s="1140"/>
      <c r="E47" s="1140"/>
      <c r="F47" s="1140"/>
      <c r="G47" s="1140"/>
      <c r="H47" s="1140"/>
      <c r="I47" s="1140"/>
      <c r="J47" s="1140"/>
      <c r="K47" s="1140"/>
      <c r="L47" s="1140"/>
      <c r="M47" s="1140"/>
      <c r="N47" s="1140"/>
      <c r="O47" s="1140"/>
      <c r="P47" s="1140"/>
      <c r="Q47" s="1140"/>
      <c r="R47" s="1140"/>
      <c r="S47" s="1140"/>
      <c r="T47" s="1140"/>
      <c r="U47" s="1141"/>
    </row>
    <row r="48" spans="2:21">
      <c r="B48" s="718"/>
      <c r="C48" s="719"/>
      <c r="D48" s="703"/>
      <c r="E48" s="703"/>
      <c r="F48" s="703"/>
      <c r="G48" s="703"/>
      <c r="H48" s="703"/>
      <c r="I48" s="703"/>
      <c r="J48" s="703"/>
      <c r="K48" s="703"/>
      <c r="L48" s="703"/>
      <c r="M48" s="703"/>
      <c r="N48" s="703"/>
      <c r="O48" s="703"/>
      <c r="P48" s="703"/>
      <c r="Q48" s="703"/>
      <c r="R48" s="703"/>
      <c r="S48" s="703"/>
      <c r="T48" s="703"/>
      <c r="U48" s="704"/>
    </row>
    <row r="49" spans="2:21" ht="40.5" customHeight="1">
      <c r="B49" s="718"/>
      <c r="C49" s="1140" t="s">
        <v>651</v>
      </c>
      <c r="D49" s="1140"/>
      <c r="E49" s="1140"/>
      <c r="F49" s="1140"/>
      <c r="G49" s="1140"/>
      <c r="H49" s="1140"/>
      <c r="I49" s="1140"/>
      <c r="J49" s="1140"/>
      <c r="K49" s="1140"/>
      <c r="L49" s="1140"/>
      <c r="M49" s="1140"/>
      <c r="N49" s="1140"/>
      <c r="O49" s="1140"/>
      <c r="P49" s="1140"/>
      <c r="Q49" s="1140"/>
      <c r="R49" s="1140"/>
      <c r="S49" s="1140"/>
      <c r="T49" s="1140"/>
      <c r="U49" s="1141"/>
    </row>
    <row r="50" spans="2:21">
      <c r="B50" s="718"/>
      <c r="C50" s="719"/>
      <c r="D50" s="703"/>
      <c r="E50" s="703"/>
      <c r="F50" s="703"/>
      <c r="G50" s="703"/>
      <c r="H50" s="703"/>
      <c r="I50" s="703"/>
      <c r="J50" s="703"/>
      <c r="K50" s="703"/>
      <c r="L50" s="703"/>
      <c r="M50" s="703"/>
      <c r="N50" s="703"/>
      <c r="O50" s="703"/>
      <c r="P50" s="703"/>
      <c r="Q50" s="703"/>
      <c r="R50" s="703"/>
      <c r="S50" s="703"/>
      <c r="T50" s="703"/>
      <c r="U50" s="704"/>
    </row>
    <row r="51" spans="2:21" ht="30" customHeight="1">
      <c r="B51" s="718"/>
      <c r="C51" s="1140" t="s">
        <v>652</v>
      </c>
      <c r="D51" s="1140"/>
      <c r="E51" s="1140"/>
      <c r="F51" s="1140"/>
      <c r="G51" s="1140"/>
      <c r="H51" s="1140"/>
      <c r="I51" s="1140"/>
      <c r="J51" s="1140"/>
      <c r="K51" s="1140"/>
      <c r="L51" s="1140"/>
      <c r="M51" s="1140"/>
      <c r="N51" s="1140"/>
      <c r="O51" s="1140"/>
      <c r="P51" s="1140"/>
      <c r="Q51" s="1140"/>
      <c r="R51" s="1140"/>
      <c r="S51" s="1140"/>
      <c r="T51" s="1140"/>
      <c r="U51" s="1141"/>
    </row>
    <row r="52" spans="2:21" ht="15.75">
      <c r="B52" s="718"/>
      <c r="C52" s="702"/>
      <c r="D52" s="703"/>
      <c r="E52" s="703"/>
      <c r="F52" s="703"/>
      <c r="G52" s="703"/>
      <c r="H52" s="703"/>
      <c r="I52" s="703"/>
      <c r="J52" s="703"/>
      <c r="K52" s="703"/>
      <c r="L52" s="703"/>
      <c r="M52" s="703"/>
      <c r="N52" s="703"/>
      <c r="O52" s="703"/>
      <c r="P52" s="703"/>
      <c r="Q52" s="703"/>
      <c r="R52" s="703"/>
      <c r="S52" s="703"/>
      <c r="T52" s="703"/>
      <c r="U52" s="704"/>
    </row>
    <row r="53" spans="2:21" ht="31.5" customHeight="1">
      <c r="B53" s="718"/>
      <c r="C53" s="1142" t="s">
        <v>664</v>
      </c>
      <c r="D53" s="1142"/>
      <c r="E53" s="1142"/>
      <c r="F53" s="1142"/>
      <c r="G53" s="1142"/>
      <c r="H53" s="1142"/>
      <c r="I53" s="1142"/>
      <c r="J53" s="1142"/>
      <c r="K53" s="1142"/>
      <c r="L53" s="1142"/>
      <c r="M53" s="1142"/>
      <c r="N53" s="1142"/>
      <c r="O53" s="1142"/>
      <c r="P53" s="1142"/>
      <c r="Q53" s="1142"/>
      <c r="R53" s="1142"/>
      <c r="S53" s="1142"/>
      <c r="T53" s="1142"/>
      <c r="U53" s="1147"/>
    </row>
    <row r="54" spans="2:21">
      <c r="B54" s="715"/>
      <c r="C54" s="707"/>
      <c r="D54" s="707"/>
      <c r="E54" s="707"/>
      <c r="F54" s="707"/>
      <c r="G54" s="707"/>
      <c r="H54" s="707"/>
      <c r="I54" s="707"/>
      <c r="J54" s="707"/>
      <c r="K54" s="707"/>
      <c r="L54" s="707"/>
      <c r="M54" s="707"/>
      <c r="N54" s="707"/>
      <c r="O54" s="707"/>
      <c r="P54" s="707"/>
      <c r="Q54" s="707"/>
      <c r="R54" s="707"/>
      <c r="S54" s="707"/>
      <c r="T54" s="707"/>
      <c r="U54" s="708"/>
    </row>
    <row r="55" spans="2:21" ht="48" customHeight="1">
      <c r="B55" s="700" t="s">
        <v>653</v>
      </c>
      <c r="C55" s="1150" t="s">
        <v>654</v>
      </c>
      <c r="D55" s="1150"/>
      <c r="E55" s="1150"/>
      <c r="F55" s="1150"/>
      <c r="G55" s="1150"/>
      <c r="H55" s="1150"/>
      <c r="I55" s="1150"/>
      <c r="J55" s="1150"/>
      <c r="K55" s="1150"/>
      <c r="L55" s="1150"/>
      <c r="M55" s="1150"/>
      <c r="N55" s="1150"/>
      <c r="O55" s="1150"/>
      <c r="P55" s="1150"/>
      <c r="Q55" s="1150"/>
      <c r="R55" s="1150"/>
      <c r="S55" s="1150"/>
      <c r="T55" s="1150"/>
      <c r="U55" s="1151"/>
    </row>
    <row r="56" spans="2:21">
      <c r="B56" s="715"/>
      <c r="C56" s="707"/>
      <c r="D56" s="707"/>
      <c r="E56" s="707"/>
      <c r="F56" s="707"/>
      <c r="G56" s="707"/>
      <c r="H56" s="707"/>
      <c r="I56" s="707"/>
      <c r="J56" s="707"/>
      <c r="K56" s="707"/>
      <c r="L56" s="707"/>
      <c r="M56" s="707"/>
      <c r="N56" s="707"/>
      <c r="O56" s="707"/>
      <c r="P56" s="707"/>
      <c r="Q56" s="707"/>
      <c r="R56" s="707"/>
      <c r="S56" s="707"/>
      <c r="T56" s="707"/>
      <c r="U56" s="708"/>
    </row>
    <row r="57" spans="2:21" ht="34.5" customHeight="1">
      <c r="B57" s="700" t="s">
        <v>655</v>
      </c>
      <c r="C57" s="1150" t="s">
        <v>656</v>
      </c>
      <c r="D57" s="1150"/>
      <c r="E57" s="1150"/>
      <c r="F57" s="1150"/>
      <c r="G57" s="1150"/>
      <c r="H57" s="1150"/>
      <c r="I57" s="1150"/>
      <c r="J57" s="1150"/>
      <c r="K57" s="1150"/>
      <c r="L57" s="1150"/>
      <c r="M57" s="1150"/>
      <c r="N57" s="1150"/>
      <c r="O57" s="1150"/>
      <c r="P57" s="1150"/>
      <c r="Q57" s="1150"/>
      <c r="R57" s="1150"/>
      <c r="S57" s="1150"/>
      <c r="T57" s="1150"/>
      <c r="U57" s="1151"/>
    </row>
    <row r="58" spans="2:21">
      <c r="B58" s="720"/>
      <c r="C58" s="707"/>
      <c r="D58" s="707"/>
      <c r="E58" s="707"/>
      <c r="F58" s="707"/>
      <c r="G58" s="707"/>
      <c r="H58" s="707"/>
      <c r="I58" s="707"/>
      <c r="J58" s="707"/>
      <c r="K58" s="707"/>
      <c r="L58" s="707"/>
      <c r="M58" s="707"/>
      <c r="N58" s="707"/>
      <c r="O58" s="707"/>
      <c r="P58" s="707"/>
      <c r="Q58" s="707"/>
      <c r="R58" s="707"/>
      <c r="S58" s="707"/>
      <c r="T58" s="707"/>
      <c r="U58" s="708"/>
    </row>
    <row r="59" spans="2:21" ht="30.75" customHeight="1">
      <c r="B59" s="709" t="s">
        <v>657</v>
      </c>
      <c r="C59" s="721" t="s">
        <v>658</v>
      </c>
      <c r="D59" s="722"/>
      <c r="E59" s="722"/>
      <c r="F59" s="722"/>
      <c r="G59" s="722"/>
      <c r="H59" s="722"/>
      <c r="I59" s="722"/>
      <c r="J59" s="722"/>
      <c r="K59" s="722"/>
      <c r="L59" s="722"/>
      <c r="M59" s="722"/>
      <c r="N59" s="722"/>
      <c r="O59" s="722"/>
      <c r="P59" s="722"/>
      <c r="Q59" s="722"/>
      <c r="R59" s="722"/>
      <c r="S59" s="722"/>
      <c r="T59" s="722"/>
      <c r="U59" s="72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34" right="0.35" top="0.44" bottom="0.34" header="0.3" footer="0.3"/>
  <pageSetup scale="46"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9" zoomScale="85" zoomScaleNormal="85" workbookViewId="0">
      <selection activeCell="A19" sqref="A1:XFD104857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1155" t="s">
        <v>709</v>
      </c>
      <c r="C3" s="1156"/>
      <c r="D3" s="1156"/>
      <c r="E3" s="1156"/>
      <c r="F3" s="1157"/>
      <c r="G3" s="122"/>
    </row>
    <row r="4" spans="2:20" ht="16.5" customHeight="1">
      <c r="B4" s="1158"/>
      <c r="C4" s="1159"/>
      <c r="D4" s="1159"/>
      <c r="E4" s="1159"/>
      <c r="F4" s="1160"/>
      <c r="G4" s="122"/>
    </row>
    <row r="5" spans="2:20" ht="71.25" customHeight="1">
      <c r="B5" s="1158"/>
      <c r="C5" s="1159"/>
      <c r="D5" s="1159"/>
      <c r="E5" s="1159"/>
      <c r="F5" s="1160"/>
      <c r="G5" s="122"/>
    </row>
    <row r="6" spans="2:20" ht="21.75" customHeight="1">
      <c r="B6" s="1161"/>
      <c r="C6" s="1162"/>
      <c r="D6" s="1162"/>
      <c r="E6" s="1162"/>
      <c r="F6" s="1163"/>
      <c r="G6" s="122"/>
    </row>
    <row r="8" spans="2:20" ht="21">
      <c r="B8" s="1154" t="s">
        <v>481</v>
      </c>
      <c r="C8" s="1154"/>
      <c r="D8" s="1154"/>
      <c r="E8" s="1154"/>
      <c r="F8" s="1154"/>
      <c r="G8" s="115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623</v>
      </c>
      <c r="G13" s="109"/>
      <c r="L13" s="33"/>
      <c r="M13" s="33"/>
      <c r="N13" s="33"/>
      <c r="O13" s="33"/>
      <c r="P13" s="33"/>
      <c r="Q13" s="68"/>
      <c r="S13" s="8"/>
      <c r="T13" s="8"/>
    </row>
    <row r="14" spans="2:20" s="9" customFormat="1" ht="26.25" customHeight="1" thickBot="1">
      <c r="B14" s="102"/>
      <c r="C14" s="172" t="s">
        <v>618</v>
      </c>
      <c r="G14" s="123"/>
      <c r="L14" s="33"/>
      <c r="M14" s="33"/>
      <c r="N14" s="33"/>
      <c r="O14" s="33"/>
      <c r="P14" s="33"/>
      <c r="Q14" s="68"/>
      <c r="S14" s="8"/>
      <c r="T14" s="8"/>
    </row>
    <row r="15" spans="2:20" s="9" customFormat="1" ht="26.25" customHeight="1" thickBot="1">
      <c r="B15" s="102"/>
      <c r="C15" s="172" t="s">
        <v>619</v>
      </c>
      <c r="G15" s="123"/>
      <c r="L15" s="33"/>
      <c r="M15" s="33"/>
      <c r="N15" s="33"/>
      <c r="O15" s="33"/>
      <c r="P15" s="33"/>
      <c r="Q15" s="68"/>
      <c r="S15" s="8"/>
      <c r="T15" s="8"/>
    </row>
    <row r="16" spans="2:20" s="9" customFormat="1" ht="26.25" customHeight="1" thickBot="1">
      <c r="B16" s="102"/>
      <c r="C16" s="172" t="s">
        <v>620</v>
      </c>
      <c r="G16" s="123"/>
      <c r="L16" s="33"/>
      <c r="M16" s="33"/>
      <c r="N16" s="33"/>
      <c r="O16" s="33"/>
      <c r="P16" s="33"/>
      <c r="Q16" s="68"/>
      <c r="S16" s="8"/>
      <c r="T16" s="8"/>
    </row>
    <row r="17" spans="2:20" s="9" customFormat="1" ht="26.25" customHeight="1" thickBot="1">
      <c r="B17" s="102"/>
      <c r="C17" s="124" t="s">
        <v>621</v>
      </c>
      <c r="G17" s="109"/>
      <c r="L17" s="33"/>
      <c r="M17" s="33"/>
      <c r="N17" s="33"/>
      <c r="O17" s="33"/>
      <c r="P17" s="33"/>
      <c r="Q17" s="68"/>
      <c r="S17" s="8"/>
      <c r="T17" s="8"/>
    </row>
    <row r="18" spans="2:20" s="9" customFormat="1" ht="26.25" customHeight="1" thickBot="1">
      <c r="B18" s="102"/>
      <c r="C18" s="124" t="s">
        <v>622</v>
      </c>
      <c r="G18" s="123"/>
      <c r="L18" s="33"/>
      <c r="M18" s="33"/>
      <c r="N18" s="33"/>
      <c r="O18" s="33"/>
      <c r="P18" s="33"/>
      <c r="Q18" s="68"/>
      <c r="S18" s="8"/>
      <c r="T18" s="8"/>
    </row>
    <row r="19" spans="2:20" s="9" customFormat="1" ht="26.25" customHeight="1" thickBot="1">
      <c r="B19" s="102"/>
      <c r="C19" s="124" t="s">
        <v>624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48" customHeight="1">
      <c r="B22" s="642" t="s">
        <v>543</v>
      </c>
      <c r="C22" s="648" t="s">
        <v>437</v>
      </c>
      <c r="D22" s="651" t="s">
        <v>443</v>
      </c>
      <c r="E22" s="655" t="s">
        <v>583</v>
      </c>
      <c r="F22" s="651" t="s">
        <v>448</v>
      </c>
      <c r="G22" s="174"/>
      <c r="M22" s="640"/>
      <c r="T22" s="640"/>
    </row>
    <row r="23" spans="2:20" s="103" customFormat="1" ht="48" customHeight="1">
      <c r="B23" s="643" t="s">
        <v>458</v>
      </c>
      <c r="C23" s="649" t="s">
        <v>438</v>
      </c>
      <c r="D23" s="652" t="s">
        <v>444</v>
      </c>
      <c r="E23" s="656" t="s">
        <v>583</v>
      </c>
      <c r="F23" s="652" t="s">
        <v>448</v>
      </c>
      <c r="G23" s="174"/>
      <c r="M23" s="640"/>
      <c r="T23" s="640"/>
    </row>
    <row r="24" spans="2:20" s="103" customFormat="1" ht="48" customHeight="1">
      <c r="B24" s="643" t="s">
        <v>455</v>
      </c>
      <c r="C24" s="649" t="s">
        <v>438</v>
      </c>
      <c r="D24" s="652" t="s">
        <v>445</v>
      </c>
      <c r="E24" s="656" t="s">
        <v>583</v>
      </c>
      <c r="F24" s="652" t="s">
        <v>448</v>
      </c>
      <c r="G24" s="174"/>
      <c r="M24" s="640"/>
      <c r="T24" s="640"/>
    </row>
    <row r="25" spans="2:20" s="103" customFormat="1" ht="32.25" customHeight="1">
      <c r="B25" s="644" t="s">
        <v>456</v>
      </c>
      <c r="C25" s="649" t="s">
        <v>437</v>
      </c>
      <c r="D25" s="652" t="s">
        <v>446</v>
      </c>
      <c r="E25" s="657" t="s">
        <v>602</v>
      </c>
      <c r="F25" s="660"/>
      <c r="G25" s="174"/>
      <c r="M25" s="640"/>
      <c r="T25" s="640"/>
    </row>
    <row r="26" spans="2:20" s="103" customFormat="1" ht="30.75" customHeight="1">
      <c r="B26" s="645" t="s">
        <v>541</v>
      </c>
      <c r="C26" s="649" t="s">
        <v>437</v>
      </c>
      <c r="D26" s="652"/>
      <c r="E26" s="657"/>
      <c r="F26" s="660"/>
      <c r="G26" s="174"/>
      <c r="M26" s="640"/>
      <c r="T26" s="640"/>
    </row>
    <row r="27" spans="2:20" s="103" customFormat="1" ht="32.25" customHeight="1">
      <c r="B27" s="646" t="s">
        <v>542</v>
      </c>
      <c r="C27" s="649" t="s">
        <v>437</v>
      </c>
      <c r="D27" s="653" t="s">
        <v>538</v>
      </c>
      <c r="E27" s="657"/>
      <c r="F27" s="660"/>
      <c r="G27" s="174"/>
      <c r="M27" s="640"/>
      <c r="T27" s="640"/>
    </row>
    <row r="28" spans="2:20" s="103" customFormat="1" ht="27" customHeight="1">
      <c r="B28" s="644" t="s">
        <v>457</v>
      </c>
      <c r="C28" s="649" t="s">
        <v>440</v>
      </c>
      <c r="D28" s="652" t="s">
        <v>482</v>
      </c>
      <c r="E28" s="657" t="s">
        <v>459</v>
      </c>
      <c r="F28" s="660"/>
      <c r="G28" s="174"/>
      <c r="M28" s="640"/>
      <c r="T28" s="640"/>
    </row>
    <row r="29" spans="2:20" s="103" customFormat="1" ht="27" customHeight="1">
      <c r="B29" s="646" t="s">
        <v>452</v>
      </c>
      <c r="C29" s="649" t="s">
        <v>437</v>
      </c>
      <c r="D29" s="652"/>
      <c r="E29" s="657"/>
      <c r="F29" s="652" t="s">
        <v>407</v>
      </c>
      <c r="G29" s="174"/>
      <c r="M29" s="640"/>
      <c r="T29" s="640"/>
    </row>
    <row r="30" spans="2:20" s="103" customFormat="1" ht="32.25" customHeight="1">
      <c r="B30" s="644" t="s">
        <v>207</v>
      </c>
      <c r="C30" s="649" t="s">
        <v>442</v>
      </c>
      <c r="D30" s="652" t="s">
        <v>555</v>
      </c>
      <c r="E30" s="658"/>
      <c r="F30" s="652" t="s">
        <v>554</v>
      </c>
      <c r="G30" s="641"/>
      <c r="M30" s="640"/>
    </row>
    <row r="31" spans="2:20" s="103" customFormat="1" ht="27.75" customHeight="1">
      <c r="B31" s="647" t="s">
        <v>539</v>
      </c>
      <c r="C31" s="650" t="s">
        <v>441</v>
      </c>
      <c r="D31" s="654"/>
      <c r="E31" s="659"/>
      <c r="F31" s="654"/>
      <c r="G31" s="641"/>
      <c r="M31" s="640"/>
    </row>
    <row r="32" spans="2:20" s="103" customFormat="1" ht="23.25" customHeight="1">
      <c r="C32" s="175"/>
      <c r="D32" s="175"/>
      <c r="E32" s="175"/>
      <c r="G32" s="641"/>
      <c r="M32" s="640"/>
    </row>
    <row r="33" spans="2:13" s="17" customFormat="1">
      <c r="B33" s="175"/>
      <c r="C33" s="173"/>
      <c r="D33" s="173"/>
      <c r="E33" s="173"/>
      <c r="G33" s="163"/>
      <c r="M33" s="25"/>
    </row>
    <row r="34" spans="2:13">
      <c r="C34" s="10"/>
      <c r="D34" s="10"/>
      <c r="E34" s="10"/>
    </row>
  </sheetData>
  <mergeCells count="2">
    <mergeCell ref="B8:G8"/>
    <mergeCell ref="B3:F6"/>
  </mergeCells>
  <pageMargins left="0.19" right="0.12" top="0.74" bottom="0.48" header="0.3" footer="0.3"/>
  <pageSetup scale="4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2014</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V108"/>
  <sheetViews>
    <sheetView view="pageBreakPreview" topLeftCell="A13" zoomScale="60" zoomScaleNormal="85" workbookViewId="0">
      <selection activeCell="A31" sqref="A1:XFD1048576"/>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4" t="s">
        <v>551</v>
      </c>
      <c r="D6" s="17"/>
      <c r="E6" s="9"/>
      <c r="T6" s="9"/>
      <c r="V6" s="8"/>
    </row>
    <row r="7" spans="2:22" ht="21" customHeight="1">
      <c r="B7" s="532"/>
      <c r="C7" s="17"/>
      <c r="D7" s="17"/>
      <c r="E7" s="9"/>
      <c r="T7" s="9"/>
      <c r="V7" s="8"/>
    </row>
    <row r="8" spans="2:22" ht="24.75" customHeight="1">
      <c r="B8" s="117" t="s">
        <v>239</v>
      </c>
      <c r="C8" s="189" t="s">
        <v>782</v>
      </c>
      <c r="D8" s="596"/>
      <c r="E8" s="9"/>
      <c r="T8" s="9"/>
      <c r="V8" s="8"/>
    </row>
    <row r="9" spans="2:22" ht="41.25" customHeight="1">
      <c r="B9" s="546" t="s">
        <v>520</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3" t="s">
        <v>556</v>
      </c>
      <c r="C11" s="562"/>
      <c r="D11" s="562"/>
      <c r="E11" s="562"/>
      <c r="F11" s="562"/>
      <c r="G11" s="562"/>
      <c r="H11" s="562"/>
      <c r="T11" s="545"/>
      <c r="U11" s="545"/>
    </row>
    <row r="12" spans="2:22" s="32" customFormat="1" ht="18.75" customHeight="1">
      <c r="B12" s="539"/>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7" t="s">
        <v>783</v>
      </c>
      <c r="E14" s="130"/>
      <c r="F14" s="124" t="s">
        <v>548</v>
      </c>
      <c r="H14" s="537" t="s">
        <v>846</v>
      </c>
      <c r="J14" s="124" t="s">
        <v>515</v>
      </c>
      <c r="L14" s="132"/>
      <c r="N14" s="103"/>
      <c r="Q14" s="99"/>
      <c r="R14" s="96"/>
    </row>
    <row r="15" spans="2:22" ht="26.25" customHeight="1" thickBot="1">
      <c r="B15" s="124" t="s">
        <v>424</v>
      </c>
      <c r="C15" s="106"/>
      <c r="D15" s="537" t="s">
        <v>784</v>
      </c>
      <c r="F15" s="124" t="s">
        <v>414</v>
      </c>
      <c r="G15" s="127"/>
      <c r="H15" s="537" t="s">
        <v>847</v>
      </c>
      <c r="I15" s="17"/>
      <c r="J15" s="124" t="s">
        <v>516</v>
      </c>
      <c r="L15" s="132"/>
      <c r="M15" s="103"/>
      <c r="Q15" s="108"/>
      <c r="R15" s="96"/>
    </row>
    <row r="16" spans="2:22" ht="28.5" customHeight="1" thickBot="1">
      <c r="B16" s="124" t="s">
        <v>454</v>
      </c>
      <c r="C16" s="106"/>
      <c r="D16" s="538" t="s">
        <v>785</v>
      </c>
      <c r="E16" s="103"/>
      <c r="F16" s="124" t="s">
        <v>434</v>
      </c>
      <c r="G16" s="125"/>
      <c r="H16" s="538" t="s">
        <v>786</v>
      </c>
      <c r="I16" s="103"/>
      <c r="K16" s="195"/>
      <c r="L16" s="195"/>
      <c r="M16" s="195"/>
      <c r="N16" s="195"/>
      <c r="Q16" s="115"/>
      <c r="R16" s="96"/>
    </row>
    <row r="17" spans="1:21" ht="29.25" customHeight="1">
      <c r="B17" s="124" t="s">
        <v>421</v>
      </c>
      <c r="C17" s="106"/>
      <c r="D17" s="727">
        <v>574655</v>
      </c>
      <c r="E17" s="121"/>
      <c r="F17" s="734" t="s">
        <v>668</v>
      </c>
      <c r="G17" s="195"/>
      <c r="H17" s="728">
        <v>1</v>
      </c>
      <c r="I17" s="17"/>
      <c r="M17" s="195"/>
      <c r="N17" s="195"/>
      <c r="P17" s="99"/>
      <c r="Q17" s="99"/>
      <c r="R17" s="96"/>
    </row>
    <row r="18" spans="1:21" s="28" customFormat="1" ht="29.25" customHeight="1">
      <c r="B18" s="124"/>
      <c r="C18" s="729"/>
      <c r="D18" s="726"/>
      <c r="E18" s="730"/>
      <c r="F18" s="725"/>
      <c r="G18" s="731"/>
      <c r="H18" s="732"/>
      <c r="I18" s="163"/>
      <c r="M18" s="731"/>
      <c r="N18" s="731"/>
      <c r="P18" s="731"/>
      <c r="Q18" s="731"/>
      <c r="R18" s="733"/>
      <c r="T18" s="37"/>
      <c r="U18" s="37"/>
    </row>
    <row r="19" spans="1:21" ht="27.75" customHeight="1" thickBot="1">
      <c r="E19" s="9"/>
      <c r="F19" s="124" t="s">
        <v>435</v>
      </c>
      <c r="G19" s="598" t="s">
        <v>363</v>
      </c>
      <c r="H19" s="242">
        <f>SUM(R54,R57,R60,R63,R66,R69,R72,R75,R78)</f>
        <v>2061828.6832480798</v>
      </c>
      <c r="I19" s="17"/>
      <c r="J19" s="115"/>
      <c r="K19" s="115"/>
      <c r="L19" s="115"/>
      <c r="M19" s="115"/>
      <c r="N19" s="115"/>
      <c r="P19" s="115"/>
      <c r="Q19" s="115"/>
      <c r="R19" s="96"/>
    </row>
    <row r="20" spans="1:21" ht="27.75" customHeight="1" thickBot="1">
      <c r="E20" s="9"/>
      <c r="F20" s="124" t="s">
        <v>436</v>
      </c>
      <c r="G20" s="598" t="s">
        <v>364</v>
      </c>
      <c r="H20" s="131">
        <f>-SUM(R55,R58,R61,R64,R67,R70,R73,R76,R79)</f>
        <v>420767.88600000006</v>
      </c>
      <c r="I20" s="17"/>
      <c r="J20" s="115"/>
      <c r="P20" s="115"/>
      <c r="Q20" s="115"/>
      <c r="R20" s="96"/>
    </row>
    <row r="21" spans="1:21" ht="27.75" customHeight="1" thickBot="1">
      <c r="C21" s="32"/>
      <c r="D21" s="32"/>
      <c r="E21" s="32"/>
      <c r="F21" s="124" t="s">
        <v>408</v>
      </c>
      <c r="G21" s="598" t="s">
        <v>365</v>
      </c>
      <c r="H21" s="188">
        <f>R84</f>
        <v>86779.679442156979</v>
      </c>
      <c r="I21" s="103"/>
      <c r="P21" s="115"/>
      <c r="Q21" s="115"/>
      <c r="R21" s="96"/>
    </row>
    <row r="22" spans="1:21" ht="27.75" customHeight="1">
      <c r="C22" s="32"/>
      <c r="D22" s="32"/>
      <c r="E22" s="32"/>
      <c r="F22" s="124" t="s">
        <v>510</v>
      </c>
      <c r="G22" s="598" t="s">
        <v>449</v>
      </c>
      <c r="H22" s="188">
        <f>H19-H20+H21</f>
        <v>1727840.4766902369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56" customHeight="1">
      <c r="A26" s="28"/>
      <c r="B26" s="1166" t="s">
        <v>675</v>
      </c>
      <c r="C26" s="1166"/>
      <c r="D26" s="1166"/>
      <c r="E26" s="1166"/>
      <c r="F26" s="1166"/>
      <c r="G26" s="1166"/>
    </row>
    <row r="27" spans="1:21" ht="14.25" customHeight="1">
      <c r="A27" s="28"/>
      <c r="B27" s="543"/>
      <c r="C27" s="543"/>
      <c r="D27" s="533"/>
      <c r="E27" s="533"/>
      <c r="F27" s="533"/>
      <c r="G27" s="543"/>
    </row>
    <row r="28" spans="1:21" s="17" customFormat="1" ht="27" customHeight="1">
      <c r="B28" s="1167" t="s">
        <v>507</v>
      </c>
      <c r="C28" s="1168"/>
      <c r="D28" s="133" t="s">
        <v>41</v>
      </c>
      <c r="E28" s="134" t="s">
        <v>666</v>
      </c>
      <c r="F28" s="134" t="s">
        <v>408</v>
      </c>
      <c r="G28" s="135" t="s">
        <v>409</v>
      </c>
      <c r="T28" s="136"/>
      <c r="U28" s="136"/>
    </row>
    <row r="29" spans="1:21" ht="20.25" customHeight="1">
      <c r="B29" s="1164" t="s">
        <v>29</v>
      </c>
      <c r="C29" s="1165"/>
      <c r="D29" s="633" t="s">
        <v>27</v>
      </c>
      <c r="E29" s="138">
        <f>SUM(D54:D80)</f>
        <v>398649.26138102839</v>
      </c>
      <c r="F29" s="139">
        <f>D84</f>
        <v>22142.178120265889</v>
      </c>
      <c r="G29" s="138">
        <f>E29+F29</f>
        <v>420791.43950129428</v>
      </c>
    </row>
    <row r="30" spans="1:21" ht="20.25" customHeight="1">
      <c r="B30" s="1164" t="s">
        <v>371</v>
      </c>
      <c r="C30" s="1165"/>
      <c r="D30" s="633" t="s">
        <v>27</v>
      </c>
      <c r="E30" s="140">
        <f>SUM(E54:E80)</f>
        <v>218051.93495479913</v>
      </c>
      <c r="F30" s="141">
        <f>E84</f>
        <v>11340.427046743205</v>
      </c>
      <c r="G30" s="140">
        <f>E30+F30</f>
        <v>229392.36200154232</v>
      </c>
    </row>
    <row r="31" spans="1:21" ht="20.25" customHeight="1">
      <c r="B31" s="1164" t="s">
        <v>845</v>
      </c>
      <c r="C31" s="1165"/>
      <c r="D31" s="633" t="s">
        <v>28</v>
      </c>
      <c r="E31" s="140">
        <f>SUM(F54:F80)</f>
        <v>884947.61668003013</v>
      </c>
      <c r="F31" s="141">
        <f>F84</f>
        <v>46490.575268262794</v>
      </c>
      <c r="G31" s="140">
        <f t="shared" ref="G31:G34" si="0">E31+F31</f>
        <v>931438.19194829289</v>
      </c>
    </row>
    <row r="32" spans="1:21" ht="20.25" customHeight="1">
      <c r="B32" s="1164" t="s">
        <v>844</v>
      </c>
      <c r="C32" s="1165"/>
      <c r="D32" s="633" t="s">
        <v>28</v>
      </c>
      <c r="E32" s="140">
        <f>SUM(G54:G80)</f>
        <v>139411.98423222208</v>
      </c>
      <c r="F32" s="141">
        <f>G84</f>
        <v>6806.4990068850875</v>
      </c>
      <c r="G32" s="140">
        <f t="shared" si="0"/>
        <v>146218.48323910715</v>
      </c>
    </row>
    <row r="33" spans="2:22" ht="20.25" customHeight="1">
      <c r="B33" s="1164"/>
      <c r="C33" s="1165"/>
      <c r="D33" s="633"/>
      <c r="E33" s="140">
        <f>SUM(H54:H80)</f>
        <v>0</v>
      </c>
      <c r="F33" s="141">
        <f>H84</f>
        <v>0</v>
      </c>
      <c r="G33" s="140">
        <f>E33+F33</f>
        <v>0</v>
      </c>
    </row>
    <row r="34" spans="2:22" ht="20.25" customHeight="1">
      <c r="B34" s="1164"/>
      <c r="C34" s="1165"/>
      <c r="D34" s="633"/>
      <c r="E34" s="140">
        <f>SUM(I54:I80)</f>
        <v>0</v>
      </c>
      <c r="F34" s="141">
        <f>I84</f>
        <v>0</v>
      </c>
      <c r="G34" s="140">
        <f t="shared" si="0"/>
        <v>0</v>
      </c>
    </row>
    <row r="35" spans="2:22" ht="20.25" customHeight="1">
      <c r="B35" s="1164"/>
      <c r="C35" s="1165"/>
      <c r="D35" s="633"/>
      <c r="E35" s="140">
        <f>SUM(J54:J80)</f>
        <v>0</v>
      </c>
      <c r="F35" s="141">
        <f>J84</f>
        <v>0</v>
      </c>
      <c r="G35" s="140">
        <f>E35+F35</f>
        <v>0</v>
      </c>
    </row>
    <row r="36" spans="2:22" ht="20.25" customHeight="1">
      <c r="B36" s="1164"/>
      <c r="C36" s="1165"/>
      <c r="D36" s="633"/>
      <c r="E36" s="140">
        <f>SUM(K54:K80)</f>
        <v>0</v>
      </c>
      <c r="F36" s="141">
        <f>K84</f>
        <v>0</v>
      </c>
      <c r="G36" s="140">
        <f t="shared" ref="G36:G42" si="1">E36+F36</f>
        <v>0</v>
      </c>
    </row>
    <row r="37" spans="2:22" ht="20.25" customHeight="1">
      <c r="B37" s="1164"/>
      <c r="C37" s="1165"/>
      <c r="D37" s="633"/>
      <c r="E37" s="140">
        <f>SUM(L54:L80)</f>
        <v>0</v>
      </c>
      <c r="F37" s="141">
        <f>L84</f>
        <v>0</v>
      </c>
      <c r="G37" s="140">
        <f t="shared" si="1"/>
        <v>0</v>
      </c>
    </row>
    <row r="38" spans="2:22" ht="20.25" customHeight="1">
      <c r="B38" s="1164"/>
      <c r="C38" s="1165"/>
      <c r="D38" s="633"/>
      <c r="E38" s="140">
        <f>SUM(M54:M80)</f>
        <v>0</v>
      </c>
      <c r="F38" s="141">
        <f>M84</f>
        <v>0</v>
      </c>
      <c r="G38" s="140">
        <f t="shared" si="1"/>
        <v>0</v>
      </c>
    </row>
    <row r="39" spans="2:22" ht="20.25" customHeight="1">
      <c r="B39" s="1164"/>
      <c r="C39" s="1165"/>
      <c r="D39" s="633"/>
      <c r="E39" s="140">
        <f>SUM(N54:N80)</f>
        <v>0</v>
      </c>
      <c r="F39" s="141">
        <f>N84</f>
        <v>0</v>
      </c>
      <c r="G39" s="140">
        <f t="shared" si="1"/>
        <v>0</v>
      </c>
    </row>
    <row r="40" spans="2:22" ht="20.25" customHeight="1">
      <c r="B40" s="1164"/>
      <c r="C40" s="1165"/>
      <c r="D40" s="633"/>
      <c r="E40" s="140">
        <f>SUM(O54:O80)</f>
        <v>0</v>
      </c>
      <c r="F40" s="141">
        <f>O84</f>
        <v>0</v>
      </c>
      <c r="G40" s="140">
        <f t="shared" si="1"/>
        <v>0</v>
      </c>
    </row>
    <row r="41" spans="2:22" ht="20.25" customHeight="1">
      <c r="B41" s="1164"/>
      <c r="C41" s="1165"/>
      <c r="D41" s="633"/>
      <c r="E41" s="140">
        <f>SUM(P54:P80)</f>
        <v>0</v>
      </c>
      <c r="F41" s="141">
        <f>P84</f>
        <v>0</v>
      </c>
      <c r="G41" s="140">
        <f t="shared" si="1"/>
        <v>0</v>
      </c>
    </row>
    <row r="42" spans="2:22" ht="20.25" customHeight="1">
      <c r="B42" s="1164"/>
      <c r="C42" s="1165"/>
      <c r="D42" s="634"/>
      <c r="E42" s="142">
        <f>SUM(Q54:Q80)</f>
        <v>0</v>
      </c>
      <c r="F42" s="143">
        <f>Q84</f>
        <v>0</v>
      </c>
      <c r="G42" s="142">
        <f t="shared" si="1"/>
        <v>0</v>
      </c>
    </row>
    <row r="43" spans="2:22" s="8" customFormat="1" ht="21" customHeight="1">
      <c r="B43" s="1169" t="s">
        <v>26</v>
      </c>
      <c r="C43" s="1170"/>
      <c r="D43" s="137"/>
      <c r="E43" s="144">
        <f>SUM(E29:E42)</f>
        <v>1641060.7972480799</v>
      </c>
      <c r="F43" s="144">
        <f>SUM(F29:F42)</f>
        <v>86779.679442156979</v>
      </c>
      <c r="G43" s="144">
        <f>SUM(G29:G42)</f>
        <v>1727840.4766902367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1166" t="s">
        <v>605</v>
      </c>
      <c r="C48" s="1166"/>
      <c r="D48" s="1166"/>
      <c r="E48" s="1166"/>
      <c r="F48" s="1166"/>
      <c r="G48" s="1166"/>
      <c r="H48" s="1166"/>
      <c r="I48" s="1166"/>
      <c r="J48" s="1166"/>
      <c r="K48" s="1166"/>
      <c r="L48" s="1166"/>
      <c r="M48" s="612"/>
      <c r="N48" s="105"/>
      <c r="O48" s="105"/>
      <c r="P48" s="105"/>
      <c r="Q48" s="105"/>
      <c r="R48" s="105"/>
      <c r="T48" s="37"/>
      <c r="U48" s="19"/>
      <c r="V48" s="38"/>
    </row>
    <row r="49" spans="2:22" s="28" customFormat="1" ht="41.1" customHeight="1">
      <c r="B49" s="1166" t="s">
        <v>562</v>
      </c>
      <c r="C49" s="1166"/>
      <c r="D49" s="1166"/>
      <c r="E49" s="1166"/>
      <c r="F49" s="1166"/>
      <c r="G49" s="1166"/>
      <c r="H49" s="1166"/>
      <c r="I49" s="1166"/>
      <c r="J49" s="1166"/>
      <c r="K49" s="1166"/>
      <c r="L49" s="1166"/>
      <c r="M49" s="612"/>
      <c r="N49" s="105"/>
      <c r="O49" s="105"/>
      <c r="P49" s="105"/>
      <c r="Q49" s="105"/>
      <c r="R49" s="105"/>
      <c r="T49" s="37"/>
      <c r="U49" s="19"/>
      <c r="V49" s="38"/>
    </row>
    <row r="50" spans="2:22" s="28" customFormat="1" ht="18" customHeight="1">
      <c r="B50" s="1166" t="s">
        <v>674</v>
      </c>
      <c r="C50" s="1166"/>
      <c r="D50" s="1166"/>
      <c r="E50" s="1166"/>
      <c r="F50" s="1166"/>
      <c r="G50" s="1166"/>
      <c r="H50" s="1166"/>
      <c r="I50" s="1166"/>
      <c r="J50" s="1166"/>
      <c r="K50" s="1166"/>
      <c r="L50" s="1166"/>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 50 kW</v>
      </c>
      <c r="G52" s="135" t="str">
        <f>IF($B32&lt;&gt;"",$B32,"")</f>
        <v>Streetlighting kW</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0"/>
      <c r="C53" s="571"/>
      <c r="D53" s="571" t="str">
        <f>D29</f>
        <v>kWh</v>
      </c>
      <c r="E53" s="571" t="str">
        <f>D30</f>
        <v>kWh</v>
      </c>
      <c r="F53" s="571" t="str">
        <f>D31</f>
        <v>kW</v>
      </c>
      <c r="G53" s="571" t="str">
        <f>D32</f>
        <v>kW</v>
      </c>
      <c r="H53" s="571">
        <f>D33</f>
        <v>0</v>
      </c>
      <c r="I53" s="571">
        <f>D34</f>
        <v>0</v>
      </c>
      <c r="J53" s="571">
        <f>D35</f>
        <v>0</v>
      </c>
      <c r="K53" s="571">
        <f>D36</f>
        <v>0</v>
      </c>
      <c r="L53" s="571">
        <f>D37</f>
        <v>0</v>
      </c>
      <c r="M53" s="571">
        <f>D38</f>
        <v>0</v>
      </c>
      <c r="N53" s="571">
        <f>D39</f>
        <v>0</v>
      </c>
      <c r="O53" s="571">
        <f>D40</f>
        <v>0</v>
      </c>
      <c r="P53" s="571">
        <f>D41</f>
        <v>0</v>
      </c>
      <c r="Q53" s="571">
        <f>D42</f>
        <v>0</v>
      </c>
      <c r="R53" s="572"/>
      <c r="U53" s="147"/>
    </row>
    <row r="54" spans="2:22" s="17" customFormat="1">
      <c r="B54" s="148" t="s">
        <v>142</v>
      </c>
      <c r="C54" s="149"/>
      <c r="D54" s="150"/>
      <c r="E54" s="150"/>
      <c r="F54" s="150"/>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0" t="s">
        <v>67</v>
      </c>
      <c r="C56" s="616"/>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0" t="s">
        <v>67</v>
      </c>
      <c r="C59" s="616"/>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0" t="s">
        <v>67</v>
      </c>
      <c r="C62" s="616"/>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0" t="s">
        <v>67</v>
      </c>
      <c r="C65" s="616"/>
      <c r="D65" s="160"/>
      <c r="E65" s="160"/>
      <c r="F65" s="160"/>
      <c r="G65" s="160"/>
      <c r="H65" s="160"/>
      <c r="I65" s="160"/>
      <c r="J65" s="160"/>
      <c r="K65" s="161"/>
      <c r="L65" s="161"/>
      <c r="M65" s="161"/>
      <c r="N65" s="161"/>
      <c r="O65" s="161"/>
      <c r="P65" s="161"/>
      <c r="Q65" s="161"/>
      <c r="R65" s="162"/>
      <c r="U65" s="159"/>
      <c r="V65" s="153"/>
    </row>
    <row r="66" spans="2:22" s="163" customFormat="1">
      <c r="B66" s="154" t="s">
        <v>94</v>
      </c>
      <c r="C66" s="530"/>
      <c r="D66" s="164"/>
      <c r="E66" s="164"/>
      <c r="F66" s="164"/>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0" t="s">
        <v>67</v>
      </c>
      <c r="C68" s="616"/>
      <c r="D68" s="160"/>
      <c r="E68" s="160"/>
      <c r="F68" s="160"/>
      <c r="G68" s="160"/>
      <c r="H68" s="160"/>
      <c r="I68" s="160"/>
      <c r="J68" s="160"/>
      <c r="K68" s="161"/>
      <c r="L68" s="161"/>
      <c r="M68" s="161"/>
      <c r="N68" s="161"/>
      <c r="O68" s="161"/>
      <c r="P68" s="161"/>
      <c r="Q68" s="161"/>
      <c r="R68" s="162"/>
      <c r="U68" s="159"/>
      <c r="V68" s="153"/>
    </row>
    <row r="69" spans="2:22" s="163" customFormat="1">
      <c r="B69" s="154" t="s">
        <v>225</v>
      </c>
      <c r="C69" s="530"/>
      <c r="D69" s="156"/>
      <c r="E69" s="156"/>
      <c r="F69" s="156"/>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0</v>
      </c>
      <c r="U69" s="152"/>
      <c r="V69" s="153"/>
    </row>
    <row r="70" spans="2:22" s="163" customFormat="1">
      <c r="B70" s="154" t="s">
        <v>224</v>
      </c>
      <c r="C70" s="155"/>
      <c r="D70" s="156"/>
      <c r="E70" s="156"/>
      <c r="F70" s="156"/>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0</v>
      </c>
      <c r="S70" s="158"/>
      <c r="U70" s="152"/>
      <c r="V70" s="153"/>
    </row>
    <row r="71" spans="2:22" s="136" customFormat="1">
      <c r="B71" s="620" t="s">
        <v>67</v>
      </c>
      <c r="C71" s="616"/>
      <c r="D71" s="160"/>
      <c r="E71" s="160"/>
      <c r="F71" s="160"/>
      <c r="G71" s="160"/>
      <c r="H71" s="160"/>
      <c r="I71" s="160"/>
      <c r="J71" s="160"/>
      <c r="K71" s="161"/>
      <c r="L71" s="161"/>
      <c r="M71" s="161"/>
      <c r="N71" s="161"/>
      <c r="O71" s="161"/>
      <c r="P71" s="161"/>
      <c r="Q71" s="161"/>
      <c r="R71" s="162"/>
      <c r="U71" s="159"/>
      <c r="V71" s="153"/>
    </row>
    <row r="72" spans="2:22" s="163" customFormat="1">
      <c r="B72" s="154" t="s">
        <v>227</v>
      </c>
      <c r="C72" s="530"/>
      <c r="D72" s="156">
        <f>'5.  2015-2020 LRAM'!Y589</f>
        <v>292065.64626055665</v>
      </c>
      <c r="E72" s="156">
        <f>'5.  2015-2020 LRAM'!Z589</f>
        <v>136754.69751345349</v>
      </c>
      <c r="F72" s="156">
        <f>'5.  2015-2020 LRAM'!AA589</f>
        <v>558037.62805153022</v>
      </c>
      <c r="G72" s="156">
        <f>'5.  2015-2020 LRAM'!AB589</f>
        <v>31211.876489256894</v>
      </c>
      <c r="H72" s="156">
        <f>'5.  2015-2020 LRAM'!AC589</f>
        <v>0</v>
      </c>
      <c r="I72" s="156">
        <f>'5.  2015-2020 LRAM'!AD589</f>
        <v>0</v>
      </c>
      <c r="J72" s="156">
        <f>'5.  2015-2020 LRAM'!AE589</f>
        <v>0</v>
      </c>
      <c r="K72" s="156">
        <f>'5.  2015-2020 LRAM'!AF589</f>
        <v>0</v>
      </c>
      <c r="L72" s="156">
        <f>'5.  2015-2020 LRAM'!AG589</f>
        <v>0</v>
      </c>
      <c r="M72" s="156">
        <f>'5.  2015-2020 LRAM'!AH589</f>
        <v>0</v>
      </c>
      <c r="N72" s="156">
        <f>'5.  2015-2020 LRAM'!AI589</f>
        <v>0</v>
      </c>
      <c r="O72" s="156">
        <f>'5.  2015-2020 LRAM'!AJ589</f>
        <v>0</v>
      </c>
      <c r="P72" s="156">
        <f>'5.  2015-2020 LRAM'!AK589</f>
        <v>0</v>
      </c>
      <c r="Q72" s="156">
        <f>'5.  2015-2020 LRAM'!AL589</f>
        <v>0</v>
      </c>
      <c r="R72" s="157">
        <f>SUM(D72:Q72)</f>
        <v>1018069.8483147972</v>
      </c>
      <c r="U72" s="152"/>
      <c r="V72" s="153"/>
    </row>
    <row r="73" spans="2:22" s="163" customFormat="1">
      <c r="B73" s="154" t="s">
        <v>226</v>
      </c>
      <c r="C73" s="155"/>
      <c r="D73" s="156">
        <f>-'5.  2015-2020 LRAM'!Y590</f>
        <v>-28124.056799999998</v>
      </c>
      <c r="E73" s="156">
        <f>-'5.  2015-2020 LRAM'!Z590</f>
        <v>-42649.619999999995</v>
      </c>
      <c r="F73" s="156">
        <f>-'5.  2015-2020 LRAM'!AA590</f>
        <v>-145712.88900000002</v>
      </c>
      <c r="G73" s="156">
        <f>-'5.  2015-2020 LRAM'!AB590</f>
        <v>0</v>
      </c>
      <c r="H73" s="156">
        <f>-'5.  2015-2020 LRAM'!AC590</f>
        <v>0</v>
      </c>
      <c r="I73" s="156">
        <f>-'5.  2015-2020 LRAM'!AD590</f>
        <v>0</v>
      </c>
      <c r="J73" s="156">
        <f>-'5.  2015-2020 LRAM'!AE590</f>
        <v>0</v>
      </c>
      <c r="K73" s="156">
        <f>-'5.  2015-2020 LRAM'!AF590</f>
        <v>0</v>
      </c>
      <c r="L73" s="156">
        <f>-'5.  2015-2020 LRAM'!AG590</f>
        <v>0</v>
      </c>
      <c r="M73" s="156">
        <f>-'5.  2015-2020 LRAM'!AH590</f>
        <v>0</v>
      </c>
      <c r="N73" s="156">
        <f>-'5.  2015-2020 LRAM'!AI590</f>
        <v>0</v>
      </c>
      <c r="O73" s="156">
        <f>-'5.  2015-2020 LRAM'!AJ590</f>
        <v>0</v>
      </c>
      <c r="P73" s="156">
        <f>-'5.  2015-2020 LRAM'!AK590</f>
        <v>0</v>
      </c>
      <c r="Q73" s="156">
        <f>-'5.  2015-2020 LRAM'!AL590</f>
        <v>0</v>
      </c>
      <c r="R73" s="157">
        <f>SUM(D73:Q73)</f>
        <v>-216486.56580000001</v>
      </c>
      <c r="S73" s="158"/>
      <c r="U73" s="152"/>
      <c r="V73" s="153"/>
    </row>
    <row r="74" spans="2:22" s="136" customFormat="1">
      <c r="B74" s="620" t="s">
        <v>67</v>
      </c>
      <c r="C74" s="616"/>
      <c r="D74" s="160"/>
      <c r="E74" s="160"/>
      <c r="F74" s="160"/>
      <c r="G74" s="160"/>
      <c r="H74" s="160"/>
      <c r="I74" s="160"/>
      <c r="J74" s="160"/>
      <c r="K74" s="161"/>
      <c r="L74" s="161"/>
      <c r="M74" s="161"/>
      <c r="N74" s="161"/>
      <c r="O74" s="161"/>
      <c r="P74" s="161"/>
      <c r="Q74" s="161"/>
      <c r="R74" s="162"/>
      <c r="U74" s="159"/>
      <c r="V74" s="153"/>
    </row>
    <row r="75" spans="2:22" s="163" customFormat="1">
      <c r="B75" s="154" t="s">
        <v>229</v>
      </c>
      <c r="C75" s="530"/>
      <c r="D75" s="156">
        <f>'5.  2015-2020 LRAM'!Y779</f>
        <v>148769.70032047181</v>
      </c>
      <c r="E75" s="156">
        <f>'5.  2015-2020 LRAM'!Z779</f>
        <v>166924.55144134565</v>
      </c>
      <c r="F75" s="156">
        <f>'5.  2015-2020 LRAM'!AA779</f>
        <v>619864.47542849998</v>
      </c>
      <c r="G75" s="156">
        <f>'5.  2015-2020 LRAM'!AB779</f>
        <v>108200.10774296518</v>
      </c>
      <c r="H75" s="156">
        <f>'5.  2015-2020 LRAM'!AC779</f>
        <v>0</v>
      </c>
      <c r="I75" s="156">
        <f>'5.  2015-2020 LRAM'!AD779</f>
        <v>0</v>
      </c>
      <c r="J75" s="156">
        <f>'5.  2015-2020 LRAM'!AE779</f>
        <v>0</v>
      </c>
      <c r="K75" s="156">
        <f>'5.  2015-2020 LRAM'!AF779</f>
        <v>0</v>
      </c>
      <c r="L75" s="156">
        <f>'5.  2015-2020 LRAM'!AG779</f>
        <v>0</v>
      </c>
      <c r="M75" s="156">
        <f>'5.  2015-2020 LRAM'!AH779</f>
        <v>0</v>
      </c>
      <c r="N75" s="156">
        <f>'5.  2015-2020 LRAM'!AI779</f>
        <v>0</v>
      </c>
      <c r="O75" s="156">
        <f>'5.  2015-2020 LRAM'!AJ779</f>
        <v>0</v>
      </c>
      <c r="P75" s="156">
        <f>'5.  2015-2020 LRAM'!AK779</f>
        <v>0</v>
      </c>
      <c r="Q75" s="156">
        <f>'5.  2015-2020 LRAM'!AL779</f>
        <v>0</v>
      </c>
      <c r="R75" s="157">
        <f>SUM(D75:Q75)</f>
        <v>1043758.8349332827</v>
      </c>
      <c r="U75" s="152"/>
      <c r="V75" s="153"/>
    </row>
    <row r="76" spans="2:22" s="163" customFormat="1" ht="16.5" customHeight="1">
      <c r="B76" s="154" t="s">
        <v>228</v>
      </c>
      <c r="C76" s="155"/>
      <c r="D76" s="156">
        <f>-'5.  2015-2020 LRAM'!Y780</f>
        <v>-14062.028399999999</v>
      </c>
      <c r="E76" s="156">
        <f>-'5.  2015-2020 LRAM'!Z780</f>
        <v>-42977.694000000003</v>
      </c>
      <c r="F76" s="156">
        <f>-'5.  2015-2020 LRAM'!AA780</f>
        <v>-147241.59780000002</v>
      </c>
      <c r="G76" s="156">
        <f>-'5.  2015-2020 LRAM'!AB780</f>
        <v>0</v>
      </c>
      <c r="H76" s="156">
        <f>-'5.  2015-2020 LRAM'!AC780</f>
        <v>0</v>
      </c>
      <c r="I76" s="156">
        <f>-'5.  2015-2020 LRAM'!AD780</f>
        <v>0</v>
      </c>
      <c r="J76" s="156">
        <f>-'5.  2015-2020 LRAM'!AE780</f>
        <v>0</v>
      </c>
      <c r="K76" s="156">
        <f>-'5.  2015-2020 LRAM'!AF780</f>
        <v>0</v>
      </c>
      <c r="L76" s="156">
        <f>-'5.  2015-2020 LRAM'!AG780</f>
        <v>0</v>
      </c>
      <c r="M76" s="156">
        <f>-'5.  2015-2020 LRAM'!AH780</f>
        <v>0</v>
      </c>
      <c r="N76" s="156">
        <f>-'5.  2015-2020 LRAM'!AI780</f>
        <v>0</v>
      </c>
      <c r="O76" s="156">
        <f>-'5.  2015-2020 LRAM'!AJ780</f>
        <v>0</v>
      </c>
      <c r="P76" s="156">
        <f>-'5.  2015-2020 LRAM'!AK780</f>
        <v>0</v>
      </c>
      <c r="Q76" s="156">
        <f>-'5.  2015-2020 LRAM'!AL780</f>
        <v>0</v>
      </c>
      <c r="R76" s="157">
        <f>SUM(D76:Q76)</f>
        <v>-204281.32020000002</v>
      </c>
      <c r="S76" s="158"/>
      <c r="U76" s="152"/>
      <c r="V76" s="153"/>
    </row>
    <row r="77" spans="2:22" s="136" customFormat="1">
      <c r="B77" s="620" t="s">
        <v>67</v>
      </c>
      <c r="C77" s="616"/>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LRAM'!Y963</f>
        <v>0</v>
      </c>
      <c r="E78" s="156">
        <f>'5.  2015-2020 LRAM'!Z963</f>
        <v>0</v>
      </c>
      <c r="F78" s="156">
        <f>'5.  2015-2020 LRAM'!AA963</f>
        <v>0</v>
      </c>
      <c r="G78" s="156">
        <f>'5.  2015-2020 LRAM'!AB963</f>
        <v>0</v>
      </c>
      <c r="H78" s="156">
        <f>'5.  2015-2020 LRAM'!AC963</f>
        <v>0</v>
      </c>
      <c r="I78" s="156">
        <f>'5.  2015-2020 LRAM'!AD963</f>
        <v>0</v>
      </c>
      <c r="J78" s="156">
        <f>'5.  2015-2020 LRAM'!AE963</f>
        <v>0</v>
      </c>
      <c r="K78" s="156">
        <f>'5.  2015-2020 LRAM'!AF963</f>
        <v>0</v>
      </c>
      <c r="L78" s="156">
        <f>'5.  2015-2020 LRAM'!AG963</f>
        <v>0</v>
      </c>
      <c r="M78" s="156">
        <f>'5.  2015-2020 LRAM'!AH963</f>
        <v>0</v>
      </c>
      <c r="N78" s="156">
        <f>'5.  2015-2020 LRAM'!AI963</f>
        <v>0</v>
      </c>
      <c r="O78" s="156">
        <f>'5.  2015-2020 LRAM'!AJ963</f>
        <v>0</v>
      </c>
      <c r="P78" s="156">
        <f>'5.  2015-2020 LRAM'!AK963</f>
        <v>0</v>
      </c>
      <c r="Q78" s="156">
        <f>'5.  2015-2020 LRAM'!AL963</f>
        <v>0</v>
      </c>
      <c r="R78" s="157">
        <f>SUM(D78:Q78)</f>
        <v>0</v>
      </c>
      <c r="U78" s="152"/>
      <c r="V78" s="153"/>
    </row>
    <row r="79" spans="2:22" s="163" customFormat="1">
      <c r="B79" s="154" t="s">
        <v>230</v>
      </c>
      <c r="C79" s="155"/>
      <c r="D79" s="156">
        <f>-'5.  2015-2020 LRAM'!Y964</f>
        <v>0</v>
      </c>
      <c r="E79" s="156">
        <f>-'5.  2015-2020 LRAM'!Z964</f>
        <v>0</v>
      </c>
      <c r="F79" s="156">
        <f>-'5.  2015-2020 LRAM'!AA964</f>
        <v>0</v>
      </c>
      <c r="G79" s="156">
        <f>-'5.  2015-2020 LRAM'!AB964</f>
        <v>0</v>
      </c>
      <c r="H79" s="156">
        <f>-'5.  2015-2020 LRAM'!AC964</f>
        <v>0</v>
      </c>
      <c r="I79" s="156">
        <f>-'5.  2015-2020 LRAM'!AD964</f>
        <v>0</v>
      </c>
      <c r="J79" s="156">
        <f>-'5.  2015-2020 LRAM'!AE964</f>
        <v>0</v>
      </c>
      <c r="K79" s="156">
        <f>-'5.  2015-2020 LRAM'!AF964</f>
        <v>0</v>
      </c>
      <c r="L79" s="156">
        <f>-'5.  2015-2020 LRAM'!AG964</f>
        <v>0</v>
      </c>
      <c r="M79" s="156">
        <f>-'5.  2015-2020 LRAM'!AH964</f>
        <v>0</v>
      </c>
      <c r="N79" s="156">
        <f>-'5.  2015-2020 LRAM'!AI964</f>
        <v>0</v>
      </c>
      <c r="O79" s="156">
        <f>-'5.  2015-2020 LRAM'!AJ964</f>
        <v>0</v>
      </c>
      <c r="P79" s="156">
        <f>-'5.  2015-2020 LRAM'!AK964</f>
        <v>0</v>
      </c>
      <c r="Q79" s="156">
        <f>-'5.  2015-2020 LRAM'!AL964</f>
        <v>0</v>
      </c>
      <c r="R79" s="157">
        <f>SUM(D79:Q79)</f>
        <v>0</v>
      </c>
      <c r="S79" s="158"/>
      <c r="U79" s="152"/>
      <c r="V79" s="153"/>
    </row>
    <row r="80" spans="2:22" s="136" customFormat="1">
      <c r="B80" s="620" t="s">
        <v>67</v>
      </c>
      <c r="C80" s="616"/>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0"/>
      <c r="D81" s="156">
        <f>'5.  2015-2020 LRAM'!Y1147</f>
        <v>0</v>
      </c>
      <c r="E81" s="156">
        <f>'5.  2015-2020 LRAM'!Z1147</f>
        <v>0</v>
      </c>
      <c r="F81" s="156">
        <f>'5.  2015-2020 LRAM'!AA1147</f>
        <v>0</v>
      </c>
      <c r="G81" s="156">
        <f>'5.  2015-2020 LRAM'!AB1147</f>
        <v>0</v>
      </c>
      <c r="H81" s="156">
        <f>'5.  2015-2020 LRAM'!AC1147</f>
        <v>0</v>
      </c>
      <c r="I81" s="156">
        <f>'5.  2015-2020 LRAM'!AD1147</f>
        <v>0</v>
      </c>
      <c r="J81" s="156">
        <f>'5.  2015-2020 LRAM'!AE1147</f>
        <v>0</v>
      </c>
      <c r="K81" s="156">
        <f>'5.  2015-2020 LRAM'!AF1147</f>
        <v>0</v>
      </c>
      <c r="L81" s="156">
        <f>'5.  2015-2020 LRAM'!AG1147</f>
        <v>0</v>
      </c>
      <c r="M81" s="156">
        <f>'5.  2015-2020 LRAM'!AH1147</f>
        <v>0</v>
      </c>
      <c r="N81" s="156">
        <f>'5.  2015-2020 LRAM'!AI1147</f>
        <v>0</v>
      </c>
      <c r="O81" s="156">
        <f>'5.  2015-2020 LRAM'!AJ1147</f>
        <v>0</v>
      </c>
      <c r="P81" s="156">
        <f>'5.  2015-2020 LRAM'!AK1147</f>
        <v>0</v>
      </c>
      <c r="Q81" s="156">
        <f>'5.  2015-2020 LRAM'!AL1147</f>
        <v>0</v>
      </c>
      <c r="R81" s="157">
        <f>SUM(D81:Q81)</f>
        <v>0</v>
      </c>
      <c r="U81" s="152"/>
      <c r="V81" s="153"/>
    </row>
    <row r="82" spans="2:22" s="163" customFormat="1" hidden="1">
      <c r="B82" s="154" t="s">
        <v>232</v>
      </c>
      <c r="C82" s="155"/>
      <c r="D82" s="156">
        <f>-'5.  2015-2020 LRAM'!Y1148</f>
        <v>0</v>
      </c>
      <c r="E82" s="156">
        <f>-'5.  2015-2020 LRAM'!Z1148</f>
        <v>0</v>
      </c>
      <c r="F82" s="156">
        <f>-'5.  2015-2020 LRAM'!AA1148</f>
        <v>0</v>
      </c>
      <c r="G82" s="156">
        <f>-'5.  2015-2020 LRAM'!AB1148</f>
        <v>0</v>
      </c>
      <c r="H82" s="156">
        <f>-'5.  2015-2020 LRAM'!AC1148</f>
        <v>0</v>
      </c>
      <c r="I82" s="156">
        <f>-'5.  2015-2020 LRAM'!AD1148</f>
        <v>0</v>
      </c>
      <c r="J82" s="156">
        <f>-'5.  2015-2020 LRAM'!AE1148</f>
        <v>0</v>
      </c>
      <c r="K82" s="156">
        <f>-'5.  2015-2020 LRAM'!AF1148</f>
        <v>0</v>
      </c>
      <c r="L82" s="156">
        <f>-'5.  2015-2020 LRAM'!AG1148</f>
        <v>0</v>
      </c>
      <c r="M82" s="156">
        <f>-'5.  2015-2020 LRAM'!AH1148</f>
        <v>0</v>
      </c>
      <c r="N82" s="156">
        <f>-'5.  2015-2020 LRAM'!AI1148</f>
        <v>0</v>
      </c>
      <c r="O82" s="156">
        <f>-'5.  2015-2020 LRAM'!AJ1148</f>
        <v>0</v>
      </c>
      <c r="P82" s="156">
        <f>-'5.  2015-2020 LRAM'!AK1148</f>
        <v>0</v>
      </c>
      <c r="Q82" s="156">
        <f>-'5.  2015-2020 LRAM'!AL1148</f>
        <v>0</v>
      </c>
      <c r="R82" s="157">
        <f>SUM(D82:Q82)</f>
        <v>0</v>
      </c>
      <c r="S82" s="158"/>
      <c r="U82" s="152"/>
      <c r="V82" s="153"/>
    </row>
    <row r="83" spans="2:22" s="136" customFormat="1" hidden="1">
      <c r="B83" s="620" t="s">
        <v>67</v>
      </c>
      <c r="C83" s="616"/>
      <c r="D83" s="160"/>
      <c r="E83" s="160"/>
      <c r="F83" s="160"/>
      <c r="G83" s="160"/>
      <c r="H83" s="160"/>
      <c r="I83" s="160"/>
      <c r="J83" s="160"/>
      <c r="K83" s="161"/>
      <c r="L83" s="161"/>
      <c r="M83" s="161"/>
      <c r="N83" s="161"/>
      <c r="O83" s="161"/>
      <c r="P83" s="161"/>
      <c r="Q83" s="161"/>
      <c r="R83" s="162"/>
      <c r="U83" s="159"/>
      <c r="V83" s="153"/>
    </row>
    <row r="84" spans="2:22" s="17" customFormat="1" ht="20.25" customHeight="1">
      <c r="B84" s="617" t="s">
        <v>43</v>
      </c>
      <c r="C84" s="616"/>
      <c r="D84" s="674">
        <f>'6.  Carrying Charges'!I237</f>
        <v>22142.178120265889</v>
      </c>
      <c r="E84" s="674">
        <f>'6.  Carrying Charges'!J237</f>
        <v>11340.427046743205</v>
      </c>
      <c r="F84" s="674">
        <f>'6.  Carrying Charges'!K237</f>
        <v>46490.575268262794</v>
      </c>
      <c r="G84" s="674">
        <f>'6.  Carrying Charges'!L237</f>
        <v>6806.4990068850875</v>
      </c>
      <c r="H84" s="674">
        <f>'6.  Carrying Charges'!M237</f>
        <v>0</v>
      </c>
      <c r="I84" s="674">
        <f>'6.  Carrying Charges'!N237</f>
        <v>0</v>
      </c>
      <c r="J84" s="674">
        <f>'6.  Carrying Charges'!O237</f>
        <v>0</v>
      </c>
      <c r="K84" s="674">
        <f>'6.  Carrying Charges'!P237</f>
        <v>0</v>
      </c>
      <c r="L84" s="674">
        <f>'6.  Carrying Charges'!Q237</f>
        <v>0</v>
      </c>
      <c r="M84" s="674">
        <f>'6.  Carrying Charges'!R237</f>
        <v>0</v>
      </c>
      <c r="N84" s="674">
        <f>'6.  Carrying Charges'!S237</f>
        <v>0</v>
      </c>
      <c r="O84" s="674">
        <f>'6.  Carrying Charges'!T237</f>
        <v>0</v>
      </c>
      <c r="P84" s="674">
        <f>'6.  Carrying Charges'!U237</f>
        <v>0</v>
      </c>
      <c r="Q84" s="674">
        <f>'6.  Carrying Charges'!V237</f>
        <v>0</v>
      </c>
      <c r="R84" s="675">
        <f>SUM(D84:Q84)</f>
        <v>86779.679442156979</v>
      </c>
      <c r="U84" s="152"/>
      <c r="V84" s="153"/>
    </row>
    <row r="85" spans="2:22" s="163" customFormat="1" ht="21.75" customHeight="1">
      <c r="B85" s="618" t="s">
        <v>240</v>
      </c>
      <c r="C85" s="619"/>
      <c r="D85" s="618">
        <f>SUM(D54:D80)+D84</f>
        <v>420791.43950129428</v>
      </c>
      <c r="E85" s="618">
        <f t="shared" ref="E85:Q85" si="2">SUM(E54:E80)+E84</f>
        <v>229392.36200154232</v>
      </c>
      <c r="F85" s="618">
        <f t="shared" si="2"/>
        <v>931438.19194829289</v>
      </c>
      <c r="G85" s="618">
        <f t="shared" si="2"/>
        <v>146218.48323910715</v>
      </c>
      <c r="H85" s="618">
        <f t="shared" si="2"/>
        <v>0</v>
      </c>
      <c r="I85" s="618">
        <f t="shared" si="2"/>
        <v>0</v>
      </c>
      <c r="J85" s="618">
        <f t="shared" si="2"/>
        <v>0</v>
      </c>
      <c r="K85" s="618">
        <f t="shared" si="2"/>
        <v>0</v>
      </c>
      <c r="L85" s="618">
        <f t="shared" si="2"/>
        <v>0</v>
      </c>
      <c r="M85" s="618">
        <f t="shared" si="2"/>
        <v>0</v>
      </c>
      <c r="N85" s="618">
        <f t="shared" si="2"/>
        <v>0</v>
      </c>
      <c r="O85" s="618">
        <f t="shared" si="2"/>
        <v>0</v>
      </c>
      <c r="P85" s="618">
        <f t="shared" si="2"/>
        <v>0</v>
      </c>
      <c r="Q85" s="618">
        <f t="shared" si="2"/>
        <v>0</v>
      </c>
      <c r="R85" s="618">
        <f>SUM(R54:R80)+R84</f>
        <v>1727840.4766902369</v>
      </c>
      <c r="U85" s="152"/>
      <c r="V85" s="153"/>
    </row>
    <row r="86" spans="2:22" ht="20.25" customHeight="1">
      <c r="B86" s="450" t="s">
        <v>536</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5">
      <c r="E88" s="9"/>
    </row>
    <row r="89" spans="2:22" ht="21" hidden="1" customHeight="1">
      <c r="B89" s="118" t="s">
        <v>537</v>
      </c>
      <c r="F89" s="584"/>
    </row>
    <row r="90" spans="2:22" s="544" customFormat="1" ht="27.75" hidden="1" customHeight="1">
      <c r="B90" s="565" t="s">
        <v>557</v>
      </c>
      <c r="C90" s="561"/>
      <c r="D90" s="561"/>
      <c r="E90" s="568"/>
      <c r="F90" s="561"/>
      <c r="G90" s="561"/>
      <c r="H90" s="561"/>
      <c r="I90" s="561"/>
      <c r="J90" s="561"/>
      <c r="T90" s="545"/>
      <c r="U90" s="545"/>
    </row>
    <row r="91" spans="2:22" ht="11.25" hidden="1" customHeight="1">
      <c r="B91" s="110"/>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90" customFormat="1" ht="23.25" hidden="1" customHeight="1">
      <c r="B93" s="198">
        <v>2011</v>
      </c>
      <c r="C93" s="550">
        <f>'4.  2011-2014 LRAM'!AM131</f>
        <v>128023.11935414483</v>
      </c>
      <c r="D93" s="551">
        <f>SUM('4.  2011-2014 LRAM'!Y259:AL259)</f>
        <v>127880.08809328584</v>
      </c>
      <c r="E93" s="551">
        <f>SUM('4.  2011-2014 LRAM'!Y388:AL388)</f>
        <v>128296.86679972245</v>
      </c>
      <c r="F93" s="552">
        <f>SUM('4.  2011-2014 LRAM'!Y517:AL517)</f>
        <v>132434.83762068558</v>
      </c>
      <c r="G93" s="552">
        <f>SUM('5.  2015-2020 LRAM'!Y199:AL199)</f>
        <v>0</v>
      </c>
      <c r="H93" s="551">
        <f>SUM('5.  2015-2020 LRAM'!Y385:AL385)</f>
        <v>0</v>
      </c>
      <c r="I93" s="552">
        <f>SUM('5.  2015-2020 LRAM'!Y582:AL582)</f>
        <v>0</v>
      </c>
      <c r="J93" s="551">
        <f>SUM('5.  2015-2020 LRAM'!Y771:AL771)</f>
        <v>0</v>
      </c>
      <c r="K93" s="551">
        <f>SUM('5.  2015-2020 LRAM'!Y954:AL954)</f>
        <v>0</v>
      </c>
      <c r="L93" s="551">
        <f>SUM('5.  2015-2020 LRAM'!Y1137:AL1137)</f>
        <v>0</v>
      </c>
      <c r="M93" s="551">
        <f>SUM(C93:L93)</f>
        <v>516634.9118678387</v>
      </c>
      <c r="T93" s="197"/>
      <c r="U93" s="197"/>
    </row>
    <row r="94" spans="2:22" s="90" customFormat="1" ht="23.25" hidden="1" customHeight="1">
      <c r="B94" s="198">
        <v>2012</v>
      </c>
      <c r="C94" s="553"/>
      <c r="D94" s="552">
        <f>SUM('4.  2011-2014 LRAM'!Y260:AL260)</f>
        <v>81675.294109124166</v>
      </c>
      <c r="E94" s="551">
        <f>SUM('4.  2011-2014 LRAM'!Y389:AL389)</f>
        <v>79551.457542870892</v>
      </c>
      <c r="F94" s="552">
        <f>SUM('4.  2011-2014 LRAM'!Y518:AL518)</f>
        <v>81791.629978603756</v>
      </c>
      <c r="G94" s="552">
        <f>SUM('5.  2015-2020 LRAM'!Y200:AL200)</f>
        <v>0</v>
      </c>
      <c r="H94" s="551">
        <f>SUM('5.  2015-2020 LRAM'!Y386:AL386)</f>
        <v>0</v>
      </c>
      <c r="I94" s="552">
        <f>SUM('5.  2015-2020 LRAM'!Y583:AL583)</f>
        <v>0</v>
      </c>
      <c r="J94" s="551">
        <f>SUM('5.  2015-2020 LRAM'!Y772:AL772)</f>
        <v>0</v>
      </c>
      <c r="K94" s="551">
        <f>SUM('5.  2015-2020 LRAM'!Y955:AL955)</f>
        <v>0</v>
      </c>
      <c r="L94" s="551">
        <f>SUM('5.  2015-2020 LRAM'!Y1138:AL1138)</f>
        <v>0</v>
      </c>
      <c r="M94" s="551">
        <f>SUM(D94:L94)</f>
        <v>243018.3816305988</v>
      </c>
      <c r="T94" s="197"/>
      <c r="U94" s="197"/>
    </row>
    <row r="95" spans="2:22" s="90" customFormat="1" ht="23.25" hidden="1" customHeight="1">
      <c r="B95" s="198">
        <v>2013</v>
      </c>
      <c r="C95" s="554"/>
      <c r="D95" s="554"/>
      <c r="E95" s="552">
        <f>SUM('4.  2011-2014 LRAM'!Y390:AL390)</f>
        <v>99150.03192552882</v>
      </c>
      <c r="F95" s="552">
        <f>SUM('4.  2011-2014 LRAM'!Y519:AL519)</f>
        <v>102658.84746639917</v>
      </c>
      <c r="G95" s="552">
        <f>SUM('5.  2015-2020 LRAM'!Y201:AL201)</f>
        <v>103584.27092115162</v>
      </c>
      <c r="H95" s="551">
        <f>SUM('5.  2015-2020 LRAM'!Y387:AL387)</f>
        <v>96130.865839200807</v>
      </c>
      <c r="I95" s="552">
        <f>SUM('5.  2015-2020 LRAM'!Y584:AL584)</f>
        <v>81812.947459697505</v>
      </c>
      <c r="J95" s="551">
        <f>SUM('5.  2015-2020 LRAM'!Y773:AL773)</f>
        <v>75271.592233696661</v>
      </c>
      <c r="K95" s="551">
        <f>SUM('5.  2015-2020 LRAM'!Y956:AL956)</f>
        <v>0</v>
      </c>
      <c r="L95" s="551">
        <f>SUM('5.  2015-2020 LRAM'!Y1139:AL1139)</f>
        <v>0</v>
      </c>
      <c r="M95" s="551">
        <f>SUM(C95:L95)</f>
        <v>558608.55584567459</v>
      </c>
      <c r="T95" s="197"/>
      <c r="U95" s="197"/>
    </row>
    <row r="96" spans="2:22" s="90" customFormat="1" ht="23.25" hidden="1" customHeight="1">
      <c r="B96" s="198">
        <v>2014</v>
      </c>
      <c r="C96" s="554"/>
      <c r="D96" s="554"/>
      <c r="E96" s="554"/>
      <c r="F96" s="552">
        <f>SUM('4.  2011-2014 LRAM'!Y520:AL520)</f>
        <v>134141.3849341028</v>
      </c>
      <c r="G96" s="552">
        <f>SUM('5.  2015-2020 LRAM'!Y202:AL202)</f>
        <v>129220.86568893565</v>
      </c>
      <c r="H96" s="551">
        <f>SUM('5.  2015-2020 LRAM'!Y388:AL388)</f>
        <v>112597.54075188175</v>
      </c>
      <c r="I96" s="552">
        <f>SUM('5.  2015-2020 LRAM'!Y585:AL585)</f>
        <v>96451.817022453528</v>
      </c>
      <c r="J96" s="551">
        <f>SUM('5.  2015-2020 LRAM'!Y774:AL774)</f>
        <v>72004.947530529258</v>
      </c>
      <c r="K96" s="551">
        <f>SUM('5.  2015-2020 LRAM'!Y957:AL957)</f>
        <v>0</v>
      </c>
      <c r="L96" s="551">
        <f>SUM('5.  2015-2020 LRAM'!Y1140:AL1140)</f>
        <v>0</v>
      </c>
      <c r="M96" s="551">
        <f>SUM(F96:L96)</f>
        <v>544416.55592790293</v>
      </c>
      <c r="T96" s="197"/>
      <c r="U96" s="197"/>
    </row>
    <row r="97" spans="2:21" s="90" customFormat="1" ht="23.25" hidden="1" customHeight="1">
      <c r="B97" s="198">
        <v>2015</v>
      </c>
      <c r="C97" s="554"/>
      <c r="D97" s="554"/>
      <c r="E97" s="554"/>
      <c r="F97" s="554"/>
      <c r="G97" s="552">
        <f>SUM('5.  2015-2020 LRAM'!Y203:AL203)</f>
        <v>283115.45130000002</v>
      </c>
      <c r="H97" s="551">
        <f>SUM('5.  2015-2020 LRAM'!Y389:AL389)</f>
        <v>270154.44795400003</v>
      </c>
      <c r="I97" s="552">
        <f>SUM('5.  2015-2020 LRAM'!Y586:AL586)</f>
        <v>256181.93556400001</v>
      </c>
      <c r="J97" s="551">
        <f>SUM('5.  2015-2020 LRAM'!Y775:AL775)</f>
        <v>241261.99451399999</v>
      </c>
      <c r="K97" s="551">
        <f>SUM('5.  2015-2020 LRAM'!Y958:AL958)</f>
        <v>0</v>
      </c>
      <c r="L97" s="551">
        <f>SUM('5.  2015-2020 LRAM'!Y1141:AL1141)</f>
        <v>0</v>
      </c>
      <c r="M97" s="551">
        <f>SUM(G97:L97)</f>
        <v>1050713.8293320001</v>
      </c>
      <c r="T97" s="197"/>
      <c r="U97" s="197"/>
    </row>
    <row r="98" spans="2:21" s="90" customFormat="1" ht="23.25" hidden="1" customHeight="1">
      <c r="B98" s="198">
        <v>2016</v>
      </c>
      <c r="C98" s="554"/>
      <c r="D98" s="554"/>
      <c r="E98" s="554"/>
      <c r="F98" s="554"/>
      <c r="G98" s="554"/>
      <c r="H98" s="551">
        <f>SUM('5.  2015-2020 LRAM'!Y390:AL390)</f>
        <v>255240.56480400002</v>
      </c>
      <c r="I98" s="552">
        <f>SUM('5.  2015-2020 LRAM'!Y587:AL587)</f>
        <v>219291.76127999998</v>
      </c>
      <c r="J98" s="551">
        <f>SUM('5.  2015-2020 LRAM'!Y776:AL776)</f>
        <v>198185.84239199999</v>
      </c>
      <c r="K98" s="551">
        <f>SUM('5.  2015-2020 LRAM'!Y959:AL959)</f>
        <v>0</v>
      </c>
      <c r="L98" s="551">
        <f>SUM('5.  2015-2020 LRAM'!Y1142:AL1142)</f>
        <v>0</v>
      </c>
      <c r="M98" s="551">
        <f>SUM(H98:L98)</f>
        <v>672718.16847599996</v>
      </c>
      <c r="T98" s="197"/>
      <c r="U98" s="197"/>
    </row>
    <row r="99" spans="2:21" s="90" customFormat="1" ht="23.25" hidden="1" customHeight="1">
      <c r="B99" s="198">
        <v>2017</v>
      </c>
      <c r="C99" s="554"/>
      <c r="D99" s="554"/>
      <c r="E99" s="554"/>
      <c r="F99" s="554"/>
      <c r="G99" s="554"/>
      <c r="H99" s="554"/>
      <c r="I99" s="551">
        <f>SUM('5.  2015-2020 LRAM'!Y588:AL588)</f>
        <v>364331.38698864623</v>
      </c>
      <c r="J99" s="551">
        <f>SUM('5.  2015-2020 LRAM'!Y777:AL777)</f>
        <v>354824.80791715975</v>
      </c>
      <c r="K99" s="551">
        <f>SUM('5.  2015-2020 LRAM'!Y960:AL960)</f>
        <v>0</v>
      </c>
      <c r="L99" s="551">
        <f>SUM('5.  2015-2020 LRAM'!Y1143:AL1143)</f>
        <v>0</v>
      </c>
      <c r="M99" s="551">
        <f>SUM(I99:L99)</f>
        <v>719156.19490580598</v>
      </c>
      <c r="T99" s="197"/>
      <c r="U99" s="197"/>
    </row>
    <row r="100" spans="2:21" s="90" customFormat="1" ht="23.25" hidden="1" customHeight="1">
      <c r="B100" s="198">
        <v>2018</v>
      </c>
      <c r="C100" s="554"/>
      <c r="D100" s="554"/>
      <c r="E100" s="554"/>
      <c r="F100" s="554"/>
      <c r="G100" s="554"/>
      <c r="H100" s="554"/>
      <c r="I100" s="554"/>
      <c r="J100" s="551">
        <f>SUM('5.  2015-2020 LRAM'!Y778:AL778)</f>
        <v>102209.65034589698</v>
      </c>
      <c r="K100" s="551">
        <f>SUM('5.  2015-2020 LRAM'!Y961:AL961)</f>
        <v>0</v>
      </c>
      <c r="L100" s="551">
        <f>SUM('5.  2015-2020 LRAM'!Y1144:AL1144)</f>
        <v>0</v>
      </c>
      <c r="M100" s="551">
        <f>SUM(J100:L100)</f>
        <v>102209.65034589698</v>
      </c>
      <c r="T100" s="197"/>
      <c r="U100" s="197"/>
    </row>
    <row r="101" spans="2:21" s="90" customFormat="1" ht="23.25" hidden="1" customHeight="1">
      <c r="B101" s="198">
        <v>2019</v>
      </c>
      <c r="C101" s="554"/>
      <c r="D101" s="554"/>
      <c r="E101" s="554"/>
      <c r="F101" s="554"/>
      <c r="G101" s="554"/>
      <c r="H101" s="554"/>
      <c r="I101" s="554"/>
      <c r="J101" s="554"/>
      <c r="K101" s="551">
        <f>SUM('5.  2015-2020 LRAM'!Y962:AL962)</f>
        <v>0</v>
      </c>
      <c r="L101" s="551">
        <f>SUM('5.  2015-2020 LRAM'!Y1145:AL1145)</f>
        <v>0</v>
      </c>
      <c r="M101" s="551">
        <f>SUM(K101:L101)</f>
        <v>0</v>
      </c>
      <c r="T101" s="197"/>
      <c r="U101" s="197"/>
    </row>
    <row r="102" spans="2:21" s="90" customFormat="1" ht="23.25" hidden="1" customHeight="1">
      <c r="B102" s="198">
        <v>2020</v>
      </c>
      <c r="C102" s="554"/>
      <c r="D102" s="554"/>
      <c r="E102" s="554"/>
      <c r="F102" s="554"/>
      <c r="G102" s="554"/>
      <c r="H102" s="554"/>
      <c r="I102" s="554"/>
      <c r="J102" s="554"/>
      <c r="K102" s="554"/>
      <c r="L102" s="553">
        <f>SUM('5.  2015-2020 LRAM'!Y1146:AL1146)</f>
        <v>0</v>
      </c>
      <c r="M102" s="553">
        <f>L102</f>
        <v>0</v>
      </c>
      <c r="T102" s="197"/>
      <c r="U102" s="197"/>
    </row>
    <row r="103" spans="2:21" s="196" customFormat="1" ht="24" hidden="1" customHeight="1">
      <c r="B103" s="566" t="s">
        <v>519</v>
      </c>
      <c r="C103" s="550">
        <f>C93</f>
        <v>128023.11935414483</v>
      </c>
      <c r="D103" s="551">
        <f>D93+D94</f>
        <v>209555.38220241002</v>
      </c>
      <c r="E103" s="551">
        <f>E93+E94+E95</f>
        <v>306998.35626812215</v>
      </c>
      <c r="F103" s="551">
        <f>F93+F94+F95+F96</f>
        <v>451026.69999979122</v>
      </c>
      <c r="G103" s="551">
        <f>G93+G94+G95+G96+G97</f>
        <v>515920.58791008731</v>
      </c>
      <c r="H103" s="551">
        <f>H93+H94+H95+H96+H97+H98</f>
        <v>734123.41934908263</v>
      </c>
      <c r="I103" s="551">
        <f>I93+I94+I95+I96+I97+I98+I99</f>
        <v>1018069.8483147973</v>
      </c>
      <c r="J103" s="551">
        <f>J93+J94+J95+J96+J97+J98+J99+J100</f>
        <v>1043758.8349332826</v>
      </c>
      <c r="K103" s="551">
        <f>K93+K94+K95+K96+K97+K98+K99+K100+K101</f>
        <v>0</v>
      </c>
      <c r="L103" s="551">
        <f>SUM(L93:L102)</f>
        <v>0</v>
      </c>
      <c r="M103" s="551">
        <f>SUM(M93:M102)</f>
        <v>4407476.2483317181</v>
      </c>
      <c r="T103" s="199"/>
      <c r="U103" s="199"/>
    </row>
    <row r="104" spans="2:21" s="27" customFormat="1" ht="24.75" hidden="1" customHeight="1">
      <c r="B104" s="567" t="s">
        <v>518</v>
      </c>
      <c r="C104" s="549">
        <f>'4.  2011-2014 LRAM'!AM132</f>
        <v>0</v>
      </c>
      <c r="D104" s="549">
        <f>'4.  2011-2014 LRAM'!AM262</f>
        <v>0</v>
      </c>
      <c r="E104" s="549">
        <f>'4.  2011-2014 LRAM'!AM392</f>
        <v>0</v>
      </c>
      <c r="F104" s="549">
        <f>'4.  2011-2014 LRAM'!AM522</f>
        <v>233381.34839999999</v>
      </c>
      <c r="G104" s="549">
        <f>'5.  2015-2020 LRAM'!AM205</f>
        <v>236715.1134</v>
      </c>
      <c r="H104" s="549">
        <f>'5.  2015-2020 LRAM'!AM392</f>
        <v>227051.55600000001</v>
      </c>
      <c r="I104" s="549">
        <f>'5.  2015-2020 LRAM'!AM590</f>
        <v>216486.56580000001</v>
      </c>
      <c r="J104" s="549">
        <f>'5.  2015-2020 LRAM'!AM780</f>
        <v>204281.32020000002</v>
      </c>
      <c r="K104" s="549">
        <f>'5.  2015-2020 LRAM'!AM964</f>
        <v>0</v>
      </c>
      <c r="L104" s="549">
        <f>'5.  2015-2020 LRAM'!AM1148</f>
        <v>0</v>
      </c>
      <c r="M104" s="551">
        <f>SUM(C104:L104)</f>
        <v>1117915.9038</v>
      </c>
      <c r="T104" s="89"/>
      <c r="U104" s="89"/>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0</v>
      </c>
      <c r="H105" s="549">
        <f>'6.  Carrying Charges'!W102</f>
        <v>0</v>
      </c>
      <c r="I105" s="549">
        <f>'6.  Carrying Charges'!W117</f>
        <v>4709.3017847744331</v>
      </c>
      <c r="J105" s="549">
        <f>'6.  Carrying Charges'!W132</f>
        <v>27332.252061845262</v>
      </c>
      <c r="K105" s="549">
        <f>'6.  Carrying Charges'!W147</f>
        <v>64215.093479995849</v>
      </c>
      <c r="L105" s="549">
        <f>'6.  Carrying Charges'!W162</f>
        <v>86779.679442156921</v>
      </c>
      <c r="M105" s="551">
        <f>SUM(C105:L105)</f>
        <v>183036.32676877247</v>
      </c>
    </row>
    <row r="106" spans="2:21" ht="23.25" hidden="1" customHeight="1">
      <c r="B106" s="566" t="s">
        <v>26</v>
      </c>
      <c r="C106" s="549">
        <f>C103-C104+C105</f>
        <v>128023.11935414483</v>
      </c>
      <c r="D106" s="549">
        <f t="shared" ref="D106:J106" si="3">D103-D104+D105</f>
        <v>209555.38220241002</v>
      </c>
      <c r="E106" s="549">
        <f t="shared" si="3"/>
        <v>306998.35626812215</v>
      </c>
      <c r="F106" s="549">
        <f t="shared" si="3"/>
        <v>217645.35159979123</v>
      </c>
      <c r="G106" s="549">
        <f t="shared" si="3"/>
        <v>279205.47451008728</v>
      </c>
      <c r="H106" s="549">
        <f t="shared" si="3"/>
        <v>507071.86334908265</v>
      </c>
      <c r="I106" s="549">
        <f t="shared" si="3"/>
        <v>806292.5842995717</v>
      </c>
      <c r="J106" s="549">
        <f t="shared" si="3"/>
        <v>866809.76679512789</v>
      </c>
      <c r="K106" s="549">
        <f>K103-K104+K105</f>
        <v>64215.093479995849</v>
      </c>
      <c r="L106" s="549">
        <f>L103-L104+L105</f>
        <v>86779.679442156921</v>
      </c>
      <c r="M106" s="549">
        <f>M103-M104+M105</f>
        <v>3472596.6713004909</v>
      </c>
    </row>
    <row r="107" spans="2:21" hidden="1"/>
    <row r="108" spans="2:21">
      <c r="B108" s="584"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26" right="0.26" top="0.33" bottom="0.26" header="0.31496062992126" footer="0.19"/>
  <pageSetup paperSize="5" scale="54" fitToHeight="2" orientation="landscape" r:id="rId1"/>
  <headerFooter>
    <oddFooter>&amp;R&amp;P of &amp;N</oddFooter>
  </headerFooter>
  <rowBreaks count="1" manualBreakCount="1">
    <brk id="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J51"/>
  <sheetViews>
    <sheetView zoomScaleNormal="100" workbookViewId="0">
      <selection sqref="A1:XFD1048576"/>
    </sheetView>
  </sheetViews>
  <sheetFormatPr defaultColWidth="9" defaultRowHeight="15"/>
  <cols>
    <col min="1" max="1" width="2.8554687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9" width="9" style="12"/>
    <col min="10" max="10" width="26.42578125" style="12" customWidth="1"/>
    <col min="11" max="16384" width="9" style="12"/>
  </cols>
  <sheetData>
    <row r="13" spans="2:3" ht="15.75" thickBot="1"/>
    <row r="14" spans="2:3" ht="26.25" customHeight="1" thickBot="1">
      <c r="B14" s="532" t="s">
        <v>171</v>
      </c>
      <c r="C14" s="126" t="s">
        <v>175</v>
      </c>
    </row>
    <row r="15" spans="2:3" ht="26.25" customHeight="1" thickBot="1">
      <c r="C15" s="128" t="s">
        <v>406</v>
      </c>
    </row>
    <row r="16" spans="2:3" ht="27" customHeight="1" thickBot="1">
      <c r="C16" s="564" t="s">
        <v>551</v>
      </c>
    </row>
    <row r="19" spans="2:10" ht="15.75">
      <c r="B19" s="532" t="s">
        <v>610</v>
      </c>
    </row>
    <row r="20" spans="2:10" ht="13.5" customHeight="1"/>
    <row r="21" spans="2:10" ht="41.1" customHeight="1">
      <c r="B21" s="1166" t="s">
        <v>673</v>
      </c>
      <c r="C21" s="1166"/>
      <c r="D21" s="1166"/>
      <c r="E21" s="1166"/>
      <c r="F21" s="1166"/>
      <c r="G21" s="1166"/>
      <c r="H21" s="1166"/>
    </row>
    <row r="23" spans="2:10" s="604" customFormat="1" ht="15.75">
      <c r="B23" s="614" t="s">
        <v>546</v>
      </c>
      <c r="C23" s="614" t="s">
        <v>561</v>
      </c>
      <c r="D23" s="614" t="s">
        <v>545</v>
      </c>
      <c r="E23" s="1173" t="s">
        <v>34</v>
      </c>
      <c r="F23" s="1174"/>
      <c r="G23" s="1173" t="s">
        <v>544</v>
      </c>
      <c r="H23" s="1174"/>
      <c r="J23" s="12"/>
    </row>
    <row r="24" spans="2:10">
      <c r="B24" s="603">
        <v>1</v>
      </c>
      <c r="C24" s="639"/>
      <c r="D24" s="602"/>
      <c r="E24" s="1175"/>
      <c r="F24" s="1176"/>
      <c r="G24" s="1171"/>
      <c r="H24" s="1172"/>
    </row>
    <row r="25" spans="2:10">
      <c r="B25" s="603">
        <v>2</v>
      </c>
      <c r="C25" s="639" t="s">
        <v>369</v>
      </c>
      <c r="D25" s="602" t="s">
        <v>861</v>
      </c>
      <c r="E25" s="1177" t="s">
        <v>799</v>
      </c>
      <c r="F25" s="1178"/>
      <c r="G25" s="750" t="s">
        <v>800</v>
      </c>
      <c r="H25" s="751"/>
    </row>
    <row r="26" spans="2:10">
      <c r="B26" s="603">
        <v>3</v>
      </c>
      <c r="C26" s="639" t="s">
        <v>369</v>
      </c>
      <c r="D26" s="602" t="s">
        <v>863</v>
      </c>
      <c r="E26" s="1171" t="s">
        <v>862</v>
      </c>
      <c r="F26" s="1172"/>
      <c r="G26" s="750" t="s">
        <v>801</v>
      </c>
      <c r="H26" s="751"/>
    </row>
    <row r="27" spans="2:10">
      <c r="B27" s="603">
        <v>4</v>
      </c>
      <c r="C27" s="639" t="s">
        <v>369</v>
      </c>
      <c r="D27" s="602" t="s">
        <v>865</v>
      </c>
      <c r="E27" s="1171" t="s">
        <v>864</v>
      </c>
      <c r="F27" s="1172"/>
      <c r="G27" s="750" t="s">
        <v>802</v>
      </c>
      <c r="H27" s="751"/>
    </row>
    <row r="28" spans="2:10">
      <c r="B28" s="603">
        <v>5</v>
      </c>
      <c r="C28" s="639" t="s">
        <v>369</v>
      </c>
      <c r="D28" s="602" t="s">
        <v>866</v>
      </c>
      <c r="E28" s="1171" t="s">
        <v>867</v>
      </c>
      <c r="F28" s="1172"/>
      <c r="G28" s="750" t="s">
        <v>803</v>
      </c>
      <c r="H28" s="751"/>
    </row>
    <row r="29" spans="2:10">
      <c r="B29" s="603">
        <v>6</v>
      </c>
      <c r="C29" s="639" t="s">
        <v>369</v>
      </c>
      <c r="D29" s="602" t="s">
        <v>868</v>
      </c>
      <c r="E29" s="1171" t="s">
        <v>869</v>
      </c>
      <c r="F29" s="1172"/>
      <c r="G29" s="750" t="s">
        <v>801</v>
      </c>
      <c r="H29" s="751"/>
    </row>
    <row r="30" spans="2:10">
      <c r="B30" s="603">
        <v>7</v>
      </c>
      <c r="C30" s="639" t="s">
        <v>558</v>
      </c>
      <c r="D30" s="602" t="s">
        <v>879</v>
      </c>
      <c r="E30" s="1171" t="s">
        <v>804</v>
      </c>
      <c r="F30" s="1172"/>
      <c r="G30" s="750" t="s">
        <v>807</v>
      </c>
      <c r="H30" s="751"/>
    </row>
    <row r="31" spans="2:10">
      <c r="B31" s="603">
        <v>8</v>
      </c>
      <c r="C31" s="639" t="s">
        <v>558</v>
      </c>
      <c r="D31" s="602" t="s">
        <v>880</v>
      </c>
      <c r="E31" s="1171" t="s">
        <v>805</v>
      </c>
      <c r="F31" s="1172"/>
      <c r="G31" s="1171" t="s">
        <v>806</v>
      </c>
      <c r="H31" s="1172"/>
    </row>
    <row r="32" spans="2:10">
      <c r="B32" s="603">
        <v>9</v>
      </c>
      <c r="C32" s="639" t="s">
        <v>558</v>
      </c>
      <c r="D32" s="602" t="s">
        <v>881</v>
      </c>
      <c r="E32" s="1171" t="s">
        <v>805</v>
      </c>
      <c r="F32" s="1172"/>
      <c r="G32" s="1171" t="s">
        <v>806</v>
      </c>
      <c r="H32" s="1172"/>
    </row>
    <row r="33" spans="2:8">
      <c r="B33" s="603">
        <v>9</v>
      </c>
      <c r="C33" s="639" t="s">
        <v>369</v>
      </c>
      <c r="D33" s="602" t="s">
        <v>870</v>
      </c>
      <c r="E33" s="1179" t="s">
        <v>809</v>
      </c>
      <c r="F33" s="1180"/>
      <c r="G33" s="1171" t="s">
        <v>810</v>
      </c>
      <c r="H33" s="1172"/>
    </row>
    <row r="34" spans="2:8" ht="14.45" customHeight="1">
      <c r="B34" s="603">
        <v>10</v>
      </c>
      <c r="C34" s="639" t="s">
        <v>369</v>
      </c>
      <c r="D34" s="602" t="s">
        <v>871</v>
      </c>
      <c r="E34" s="1179" t="s">
        <v>808</v>
      </c>
      <c r="F34" s="1180"/>
      <c r="G34" s="1171" t="s">
        <v>810</v>
      </c>
      <c r="H34" s="1172"/>
    </row>
    <row r="35" spans="2:8">
      <c r="B35" s="603" t="s">
        <v>480</v>
      </c>
      <c r="C35" s="639"/>
      <c r="D35" s="602"/>
      <c r="E35" s="1179"/>
      <c r="F35" s="1180"/>
      <c r="G35" s="1171"/>
      <c r="H35" s="1172"/>
    </row>
    <row r="37" spans="2:8" ht="30.75" customHeight="1">
      <c r="B37" s="532" t="s">
        <v>606</v>
      </c>
    </row>
    <row r="38" spans="2:8" ht="23.25" customHeight="1">
      <c r="B38" s="563" t="s">
        <v>611</v>
      </c>
      <c r="C38" s="600"/>
      <c r="D38" s="600"/>
      <c r="E38" s="600"/>
      <c r="F38" s="600"/>
      <c r="G38" s="600"/>
      <c r="H38" s="600"/>
    </row>
    <row r="40" spans="2:8" s="90" customFormat="1" ht="15.75">
      <c r="B40" s="614" t="s">
        <v>546</v>
      </c>
      <c r="C40" s="614" t="s">
        <v>561</v>
      </c>
      <c r="D40" s="614" t="s">
        <v>545</v>
      </c>
      <c r="E40" s="1173" t="s">
        <v>34</v>
      </c>
      <c r="F40" s="1174"/>
      <c r="G40" s="1173" t="s">
        <v>544</v>
      </c>
      <c r="H40" s="1174"/>
    </row>
    <row r="41" spans="2:8">
      <c r="B41" s="603">
        <v>1</v>
      </c>
      <c r="C41" s="639"/>
      <c r="D41" s="602"/>
      <c r="E41" s="1179"/>
      <c r="F41" s="1180"/>
      <c r="G41" s="1171"/>
      <c r="H41" s="1172"/>
    </row>
    <row r="42" spans="2:8">
      <c r="B42" s="603">
        <v>2</v>
      </c>
      <c r="C42" s="639"/>
      <c r="D42" s="602"/>
      <c r="E42" s="1179"/>
      <c r="F42" s="1180"/>
      <c r="G42" s="1171"/>
      <c r="H42" s="1172"/>
    </row>
    <row r="43" spans="2:8">
      <c r="B43" s="603">
        <v>3</v>
      </c>
      <c r="C43" s="639"/>
      <c r="D43" s="602"/>
      <c r="E43" s="1179"/>
      <c r="F43" s="1180"/>
      <c r="G43" s="1171"/>
      <c r="H43" s="1172"/>
    </row>
    <row r="44" spans="2:8">
      <c r="B44" s="603">
        <v>4</v>
      </c>
      <c r="C44" s="639"/>
      <c r="D44" s="602"/>
      <c r="E44" s="1179"/>
      <c r="F44" s="1180"/>
      <c r="G44" s="1171"/>
      <c r="H44" s="1172"/>
    </row>
    <row r="45" spans="2:8">
      <c r="B45" s="603">
        <v>5</v>
      </c>
      <c r="C45" s="639"/>
      <c r="D45" s="602"/>
      <c r="E45" s="1179"/>
      <c r="F45" s="1180"/>
      <c r="G45" s="1171"/>
      <c r="H45" s="1172"/>
    </row>
    <row r="46" spans="2:8">
      <c r="B46" s="603">
        <v>6</v>
      </c>
      <c r="C46" s="639"/>
      <c r="D46" s="602"/>
      <c r="E46" s="1179"/>
      <c r="F46" s="1180"/>
      <c r="G46" s="1171"/>
      <c r="H46" s="1172"/>
    </row>
    <row r="47" spans="2:8">
      <c r="B47" s="603">
        <v>7</v>
      </c>
      <c r="C47" s="639"/>
      <c r="D47" s="602"/>
      <c r="E47" s="1179"/>
      <c r="F47" s="1180"/>
      <c r="G47" s="1171"/>
      <c r="H47" s="1172"/>
    </row>
    <row r="48" spans="2:8">
      <c r="B48" s="603">
        <v>8</v>
      </c>
      <c r="C48" s="639"/>
      <c r="D48" s="602"/>
      <c r="E48" s="1179"/>
      <c r="F48" s="1180"/>
      <c r="G48" s="1171"/>
      <c r="H48" s="1172"/>
    </row>
    <row r="49" spans="2:8">
      <c r="B49" s="603">
        <v>9</v>
      </c>
      <c r="C49" s="639"/>
      <c r="D49" s="602"/>
      <c r="E49" s="1179"/>
      <c r="F49" s="1180"/>
      <c r="G49" s="1171"/>
      <c r="H49" s="1172"/>
    </row>
    <row r="50" spans="2:8">
      <c r="B50" s="603">
        <v>10</v>
      </c>
      <c r="C50" s="639"/>
      <c r="D50" s="602"/>
      <c r="E50" s="1179"/>
      <c r="F50" s="1180"/>
      <c r="G50" s="1171"/>
      <c r="H50" s="1172"/>
    </row>
    <row r="51" spans="2:8">
      <c r="B51" s="603" t="s">
        <v>480</v>
      </c>
      <c r="C51" s="639"/>
      <c r="D51" s="602"/>
      <c r="E51" s="1179"/>
      <c r="F51" s="1180"/>
      <c r="G51" s="1171"/>
      <c r="H51" s="1172"/>
    </row>
  </sheetData>
  <mergeCells count="45">
    <mergeCell ref="E50:F50"/>
    <mergeCell ref="G50:H50"/>
    <mergeCell ref="E51:F51"/>
    <mergeCell ref="G51:H51"/>
    <mergeCell ref="E47:F47"/>
    <mergeCell ref="G47:H47"/>
    <mergeCell ref="E48:F48"/>
    <mergeCell ref="G48:H48"/>
    <mergeCell ref="E49:F49"/>
    <mergeCell ref="G49:H49"/>
    <mergeCell ref="E44:F44"/>
    <mergeCell ref="G44:H44"/>
    <mergeCell ref="E45:F45"/>
    <mergeCell ref="G45:H45"/>
    <mergeCell ref="E46:F46"/>
    <mergeCell ref="G46:H46"/>
    <mergeCell ref="E41:F41"/>
    <mergeCell ref="G41:H41"/>
    <mergeCell ref="E42:F42"/>
    <mergeCell ref="G42:H42"/>
    <mergeCell ref="E43:F43"/>
    <mergeCell ref="G43:H43"/>
    <mergeCell ref="G35:H35"/>
    <mergeCell ref="E40:F40"/>
    <mergeCell ref="G40:H40"/>
    <mergeCell ref="E35:F35"/>
    <mergeCell ref="E33:F33"/>
    <mergeCell ref="E34:F34"/>
    <mergeCell ref="G33:H33"/>
    <mergeCell ref="G34:H34"/>
    <mergeCell ref="B21:H21"/>
    <mergeCell ref="G23:H23"/>
    <mergeCell ref="E23:F23"/>
    <mergeCell ref="E24:F24"/>
    <mergeCell ref="E25:F25"/>
    <mergeCell ref="E31:F31"/>
    <mergeCell ref="E32:F32"/>
    <mergeCell ref="G24:H24"/>
    <mergeCell ref="G31:H31"/>
    <mergeCell ref="G32:H32"/>
    <mergeCell ref="E26:F26"/>
    <mergeCell ref="E27:F27"/>
    <mergeCell ref="E28:F28"/>
    <mergeCell ref="E29:F29"/>
    <mergeCell ref="E30:F30"/>
  </mergeCells>
  <pageMargins left="0.23" right="0.23" top="0.74803149606299213" bottom="0.74803149606299213" header="0.31496062992125984" footer="0.31496062992125984"/>
  <pageSetup scale="5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DropDownList!$F$2:$F$8</xm:f>
          </x14:formula1>
          <xm:sqref>C35 C46:C51</xm:sqref>
        </x14:dataValidation>
        <x14:dataValidation type="list" allowBlank="1" showInputMessage="1" showErrorMessage="1" xr:uid="{23562F79-AE0A-4D0E-8E15-3545E5CAEBFC}">
          <x14:formula1>
            <xm:f>'R:\Catherine\Regulatory - OEB\IRM\IRM Applications\2021 Application\2017 LRAM Application\2015_16 LRAM Application\[Liz EB-2019-0049_KWHI_SettlementP_LRAMVA_Workform_20190913.xlsx]DropDownList'!#REF!</xm:f>
          </x14:formula1>
          <xm:sqref>C41:C45</xm:sqref>
        </x14:dataValidation>
        <x14:dataValidation type="list" allowBlank="1" showInputMessage="1" showErrorMessage="1" xr:uid="{E634D560-EB3A-49A6-A4ED-00513ED9C083}">
          <x14:formula1>
            <xm:f>'R:\IRM Applications\2021 Application\2018 LRAM Calculation\[2018_2017 LRAMVA_Workform Catherine_2020 0512.xlsx]DropDownList'!#REF!</xm:f>
          </x14:formula1>
          <xm:sqref>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B1:AF96"/>
  <sheetViews>
    <sheetView topLeftCell="A2" zoomScale="85" zoomScaleNormal="85" workbookViewId="0">
      <selection activeCell="B11" sqref="A1:XFD104857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3"/>
      <c r="D4" s="257"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61" t="s">
        <v>172</v>
      </c>
      <c r="E6" s="435"/>
      <c r="F6" s="435"/>
      <c r="G6" s="435"/>
      <c r="H6" s="435"/>
      <c r="I6" s="435"/>
      <c r="J6" s="435"/>
      <c r="K6" s="435"/>
      <c r="L6" s="435"/>
      <c r="M6" s="435"/>
      <c r="N6" s="435"/>
      <c r="O6" s="435"/>
      <c r="P6" s="435"/>
      <c r="Q6" s="454"/>
    </row>
    <row r="7" spans="2:17" s="104" customFormat="1" ht="29.25" customHeight="1" thickBot="1">
      <c r="D7" s="564" t="s">
        <v>551</v>
      </c>
      <c r="P7" s="105"/>
      <c r="Q7" s="105"/>
    </row>
    <row r="8" spans="2:17" s="104" customFormat="1" ht="30" customHeight="1">
      <c r="D8" s="569"/>
      <c r="P8" s="105"/>
      <c r="Q8" s="105"/>
    </row>
    <row r="9" spans="2:17" s="2" customFormat="1" ht="24.75" customHeight="1">
      <c r="B9" s="118" t="s">
        <v>411</v>
      </c>
      <c r="C9" s="17"/>
      <c r="D9" s="452">
        <v>2014</v>
      </c>
    </row>
    <row r="10" spans="2:17" s="17" customFormat="1" ht="16.5" customHeight="1"/>
    <row r="11" spans="2:17" s="17" customFormat="1" ht="36.75" customHeight="1">
      <c r="B11" s="1181" t="s">
        <v>729</v>
      </c>
      <c r="C11" s="1181"/>
      <c r="D11" s="1181"/>
      <c r="E11" s="1181"/>
      <c r="F11" s="1181"/>
      <c r="G11" s="1181"/>
      <c r="H11" s="1181"/>
      <c r="I11" s="1181"/>
      <c r="J11" s="1181"/>
      <c r="K11" s="1181"/>
      <c r="L11" s="1181"/>
      <c r="M11" s="1181"/>
      <c r="N11" s="609"/>
      <c r="O11" s="609"/>
      <c r="P11" s="609"/>
      <c r="Q11" s="609"/>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 50 kW</v>
      </c>
      <c r="G13" s="243" t="str">
        <f>'1.  LRAMVA Summary'!G52</f>
        <v>Streetlighting kW</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v>
      </c>
      <c r="H14" s="574">
        <f>'1.  LRAMVA Summary'!H53</f>
        <v>0</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3" customFormat="1" ht="15.75" customHeight="1">
      <c r="B15" s="458" t="s">
        <v>27</v>
      </c>
      <c r="C15" s="621">
        <f>SUM(D15:Q15)</f>
        <v>18623388</v>
      </c>
      <c r="D15" s="788">
        <v>3348102</v>
      </c>
      <c r="E15" s="788">
        <v>3280740</v>
      </c>
      <c r="F15" s="788">
        <v>11994546</v>
      </c>
      <c r="G15" s="448"/>
      <c r="H15" s="448"/>
      <c r="I15" s="448"/>
      <c r="J15" s="448"/>
      <c r="K15" s="448"/>
      <c r="L15" s="448"/>
      <c r="M15" s="448"/>
      <c r="N15" s="448"/>
      <c r="O15" s="448"/>
      <c r="P15" s="449"/>
      <c r="Q15" s="449"/>
    </row>
    <row r="16" spans="2:17" s="453" customFormat="1" ht="15.75" customHeight="1">
      <c r="B16" s="458" t="s">
        <v>28</v>
      </c>
      <c r="C16" s="621">
        <f>SUM(D16:Q16)</f>
        <v>31326</v>
      </c>
      <c r="D16" s="789"/>
      <c r="E16" s="789"/>
      <c r="F16" s="789">
        <v>31326</v>
      </c>
      <c r="G16" s="447"/>
      <c r="H16" s="447"/>
      <c r="I16" s="447"/>
      <c r="J16" s="447"/>
      <c r="K16" s="449"/>
      <c r="L16" s="449"/>
      <c r="M16" s="449"/>
      <c r="N16" s="449"/>
      <c r="O16" s="449"/>
      <c r="P16" s="449"/>
      <c r="Q16" s="449"/>
    </row>
    <row r="17" spans="2:17" s="17" customFormat="1" ht="15.75" customHeight="1"/>
    <row r="18" spans="2:17" s="25" customFormat="1" ht="15.75" customHeight="1">
      <c r="B18" s="191" t="s">
        <v>451</v>
      </c>
      <c r="C18" s="192"/>
      <c r="D18" s="192">
        <f t="shared" ref="D18:E18" si="0">IF(D14="kw",HLOOKUP(D14,D14:D16,3,FALSE),HLOOKUP(D14,D14:D16,2,FALSE))</f>
        <v>3348102</v>
      </c>
      <c r="E18" s="192">
        <f t="shared" si="0"/>
        <v>3280740</v>
      </c>
      <c r="F18" s="192">
        <f>IF(F14="kw",HLOOKUP(F14,F14:F16,3,FALSE),HLOOKUP(F14,F14:F16,2,FALSE))</f>
        <v>31326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1" customHeight="1">
      <c r="B20" s="457" t="s">
        <v>667</v>
      </c>
      <c r="C20" s="450" t="s">
        <v>797</v>
      </c>
      <c r="D20" s="451"/>
    </row>
    <row r="21" spans="2:17" s="435" customFormat="1" ht="21" customHeight="1">
      <c r="B21" s="457" t="s">
        <v>366</v>
      </c>
      <c r="C21" s="367" t="s">
        <v>798</v>
      </c>
      <c r="D21" s="451"/>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2"/>
    </row>
    <row r="25" spans="2:17" s="2" customFormat="1" ht="15.75" customHeight="1">
      <c r="D25" s="20"/>
    </row>
    <row r="26" spans="2:17" s="2" customFormat="1" ht="42" customHeight="1">
      <c r="B26" s="1181" t="s">
        <v>729</v>
      </c>
      <c r="C26" s="1181"/>
      <c r="D26" s="1181"/>
      <c r="E26" s="1181"/>
      <c r="F26" s="1181"/>
      <c r="G26" s="1181"/>
      <c r="H26" s="1181"/>
      <c r="I26" s="1181"/>
      <c r="J26" s="1181"/>
      <c r="K26" s="1181"/>
      <c r="L26" s="1181"/>
      <c r="M26" s="1181"/>
      <c r="N26" s="609"/>
      <c r="O26" s="609"/>
      <c r="P26" s="609"/>
      <c r="Q26" s="609"/>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 50 kW</v>
      </c>
      <c r="G28" s="243" t="str">
        <f>'1.  LRAMVA Summary'!G52</f>
        <v>Streetlighting kW</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v>
      </c>
      <c r="H29" s="574">
        <f>'1.  LRAMVA Summary'!H53</f>
        <v>0</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3" customFormat="1" ht="15.75" customHeight="1">
      <c r="B30" s="458" t="s">
        <v>27</v>
      </c>
      <c r="C30" s="621">
        <f>SUM(D30:Q30)</f>
        <v>0</v>
      </c>
      <c r="D30" s="459"/>
      <c r="E30" s="459"/>
      <c r="F30" s="459"/>
      <c r="G30" s="459"/>
      <c r="H30" s="459"/>
      <c r="I30" s="459"/>
      <c r="J30" s="459"/>
      <c r="K30" s="459"/>
      <c r="L30" s="459"/>
      <c r="M30" s="459"/>
      <c r="N30" s="459"/>
      <c r="O30" s="459"/>
      <c r="P30" s="459"/>
      <c r="Q30" s="449"/>
    </row>
    <row r="31" spans="2:17" s="460" customFormat="1" ht="15" customHeight="1">
      <c r="B31" s="458" t="s">
        <v>28</v>
      </c>
      <c r="C31" s="621">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667</v>
      </c>
      <c r="C35" s="450"/>
      <c r="D35" s="451"/>
      <c r="E35" s="93"/>
      <c r="F35" s="93"/>
      <c r="G35" s="93"/>
      <c r="H35" s="93"/>
      <c r="I35" s="93"/>
      <c r="J35" s="93"/>
      <c r="K35" s="93"/>
      <c r="L35" s="93"/>
      <c r="M35" s="93"/>
      <c r="N35" s="93"/>
      <c r="O35" s="93"/>
      <c r="P35" s="93"/>
      <c r="Q35" s="93"/>
    </row>
    <row r="36" spans="2:32" s="435" customFormat="1" ht="21" customHeight="1">
      <c r="B36" s="457" t="s">
        <v>366</v>
      </c>
      <c r="C36" s="450" t="s">
        <v>413</v>
      </c>
      <c r="D36" s="451"/>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1181" t="s">
        <v>604</v>
      </c>
      <c r="C40" s="1181"/>
      <c r="D40" s="1181"/>
      <c r="E40" s="1181"/>
      <c r="F40" s="1181"/>
      <c r="G40" s="1181"/>
      <c r="H40" s="1181"/>
      <c r="I40" s="1181"/>
      <c r="J40" s="1181"/>
      <c r="K40" s="1181"/>
      <c r="L40" s="1181"/>
      <c r="M40" s="1181"/>
      <c r="N40" s="609"/>
      <c r="O40" s="609"/>
      <c r="P40" s="609"/>
      <c r="Q40" s="609"/>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 50 kW</v>
      </c>
      <c r="G42" s="243" t="str">
        <f>'1.  LRAMVA Summary'!G52</f>
        <v>Streetlighting kW</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6"/>
      <c r="C43" s="577"/>
      <c r="D43" s="578" t="str">
        <f>'1.  LRAMVA Summary'!D53</f>
        <v>kWh</v>
      </c>
      <c r="E43" s="578" t="str">
        <f>'1.  LRAMVA Summary'!E53</f>
        <v>kWh</v>
      </c>
      <c r="F43" s="578" t="str">
        <f>'1.  LRAMVA Summary'!F53</f>
        <v>kW</v>
      </c>
      <c r="G43" s="578" t="str">
        <f>'1.  LRAMVA Summary'!G53</f>
        <v>kW</v>
      </c>
      <c r="H43" s="578">
        <f>'1.  LRAMVA Summary'!H53</f>
        <v>0</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9"/>
    </row>
    <row r="44" spans="2:32" s="17" customFormat="1" ht="15.75">
      <c r="B44" s="170">
        <v>2011</v>
      </c>
      <c r="C44" s="529"/>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9"/>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9"/>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9">
        <v>2014</v>
      </c>
      <c r="D47" s="190">
        <f t="shared" ref="D47:Q47" si="6">IF(ISBLANK($C$47),0,IF($C$47=$D$9,HLOOKUP(D43,D14:D18,5,FALSE),HLOOKUP(D43,D29:D33,5,FALSE)))</f>
        <v>3348102</v>
      </c>
      <c r="E47" s="190">
        <f t="shared" si="6"/>
        <v>3280740</v>
      </c>
      <c r="F47" s="190">
        <f t="shared" si="6"/>
        <v>31326</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9">
        <v>2014</v>
      </c>
      <c r="D48" s="190">
        <f t="shared" ref="D48:Q48" si="7">IF(ISBLANK($C$48),0,IF($C$48=$D$9,HLOOKUP(D43,D14:D18,5,FALSE),HLOOKUP(D43,D29:D33,5,FALSE)))</f>
        <v>3348102</v>
      </c>
      <c r="E48" s="190">
        <f t="shared" si="7"/>
        <v>3280740</v>
      </c>
      <c r="F48" s="190">
        <f t="shared" si="7"/>
        <v>31326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9">
        <v>2014</v>
      </c>
      <c r="D49" s="190">
        <f t="shared" ref="D49:Q49" si="8">IF(ISBLANK($C$49),0,IF($C$49=$D$9,HLOOKUP(D43,D14:D18,5,FALSE),HLOOKUP(D43,D29:D33,5,FALSE)))</f>
        <v>3348102</v>
      </c>
      <c r="E49" s="190">
        <f t="shared" si="8"/>
        <v>3280740</v>
      </c>
      <c r="F49" s="190">
        <f t="shared" si="8"/>
        <v>31326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9">
        <v>2014</v>
      </c>
      <c r="D50" s="190">
        <f t="shared" ref="D50:I50" si="9">IF(ISBLANK($C$50),0,IF($C$50=$D$9,HLOOKUP(D43,D14:D18,5,FALSE),HLOOKUP(D43,D29:D33,5,FALSE)))</f>
        <v>3348102</v>
      </c>
      <c r="E50" s="190">
        <f t="shared" si="9"/>
        <v>3280740</v>
      </c>
      <c r="F50" s="190">
        <f t="shared" si="9"/>
        <v>31326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9">
        <v>2014</v>
      </c>
      <c r="D51" s="190">
        <f t="shared" ref="D51:Q51" si="11">IF(ISBLANK($C$51),0,IF($C$51=$D$9,HLOOKUP(D43,D14:D18,5,FALSE),HLOOKUP(D43,D29:D33,5,FALSE)))</f>
        <v>3348102</v>
      </c>
      <c r="E51" s="190">
        <f t="shared" si="11"/>
        <v>3280740</v>
      </c>
      <c r="F51" s="190">
        <f t="shared" si="11"/>
        <v>31326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9"/>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29"/>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5" customFormat="1" ht="21" customHeight="1">
      <c r="B54" s="450" t="s">
        <v>536</v>
      </c>
      <c r="C54" s="461"/>
      <c r="D54" s="462"/>
      <c r="E54" s="463"/>
      <c r="F54" s="463"/>
      <c r="G54" s="463"/>
      <c r="H54" s="463"/>
      <c r="I54" s="463"/>
      <c r="J54" s="463"/>
      <c r="K54" s="463"/>
      <c r="L54" s="463"/>
      <c r="M54" s="463"/>
      <c r="N54" s="463"/>
      <c r="O54" s="463"/>
      <c r="P54" s="463"/>
      <c r="Q54" s="462"/>
      <c r="R54" s="454"/>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 right="0.2" top="0.74803149606299213" bottom="0.74803149606299213" header="0.31496062992125984" footer="0.31496062992125984"/>
  <pageSetup scale="46"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Z136"/>
  <sheetViews>
    <sheetView topLeftCell="C1" zoomScale="80" zoomScaleNormal="80" workbookViewId="0">
      <pane ySplit="14" topLeftCell="A15" activePane="bottomLeft" state="frozen"/>
      <selection pane="bottomLeft" activeCell="C1" sqref="A1:XFD1048576"/>
    </sheetView>
  </sheetViews>
  <sheetFormatPr defaultColWidth="9" defaultRowHeight="15" outlineLevelRow="1"/>
  <cols>
    <col min="1" max="1" width="2.710937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182" t="s">
        <v>171</v>
      </c>
      <c r="C4" s="85" t="s">
        <v>175</v>
      </c>
      <c r="D4" s="85"/>
      <c r="E4" s="49"/>
    </row>
    <row r="5" spans="1:26" s="18" customFormat="1" ht="26.25" hidden="1" customHeight="1" outlineLevel="1" thickBot="1">
      <c r="A5" s="4"/>
      <c r="B5" s="1182"/>
      <c r="C5" s="86" t="s">
        <v>172</v>
      </c>
      <c r="D5" s="86"/>
      <c r="E5" s="49"/>
    </row>
    <row r="6" spans="1:26" ht="26.25" hidden="1" customHeight="1" outlineLevel="1" thickBot="1">
      <c r="B6" s="1182"/>
      <c r="C6" s="1188" t="s">
        <v>551</v>
      </c>
      <c r="D6" s="1189"/>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527</v>
      </c>
      <c r="C8" s="589" t="s">
        <v>482</v>
      </c>
      <c r="D8" s="588"/>
      <c r="M8" s="6"/>
      <c r="N8" s="6"/>
      <c r="O8" s="6"/>
      <c r="P8" s="6"/>
      <c r="Q8" s="6"/>
      <c r="R8" s="6"/>
      <c r="S8" s="6"/>
      <c r="T8" s="6"/>
      <c r="U8" s="6"/>
      <c r="V8" s="6"/>
      <c r="W8" s="6"/>
      <c r="X8" s="6"/>
      <c r="Y8" s="6"/>
      <c r="Z8" s="6"/>
    </row>
    <row r="9" spans="1:26" s="18" customFormat="1" ht="19.5" hidden="1" customHeight="1" outlineLevel="1">
      <c r="A9" s="4"/>
      <c r="B9" s="535"/>
      <c r="C9" s="589" t="s">
        <v>528</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7"/>
    </row>
    <row r="12" spans="1:26" ht="58.5" customHeight="1">
      <c r="B12" s="1190" t="s">
        <v>612</v>
      </c>
      <c r="C12" s="1190"/>
      <c r="D12" s="1190"/>
      <c r="E12" s="1190"/>
      <c r="F12" s="1190"/>
      <c r="G12" s="1190"/>
      <c r="H12" s="1190"/>
      <c r="I12" s="1190"/>
      <c r="J12" s="1190"/>
      <c r="K12" s="1190"/>
      <c r="L12" s="1190"/>
      <c r="M12" s="1190"/>
      <c r="N12" s="1190"/>
      <c r="O12" s="119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8"/>
      <c r="C14" s="466" t="s">
        <v>41</v>
      </c>
      <c r="D14" s="467" t="s">
        <v>787</v>
      </c>
      <c r="E14" s="467" t="s">
        <v>788</v>
      </c>
      <c r="F14" s="467" t="s">
        <v>789</v>
      </c>
      <c r="G14" s="467" t="s">
        <v>790</v>
      </c>
      <c r="H14" s="467" t="s">
        <v>791</v>
      </c>
      <c r="I14" s="467" t="s">
        <v>792</v>
      </c>
      <c r="J14" s="467" t="s">
        <v>793</v>
      </c>
      <c r="K14" s="467" t="s">
        <v>794</v>
      </c>
      <c r="L14" s="467" t="s">
        <v>795</v>
      </c>
      <c r="M14" s="467" t="s">
        <v>796</v>
      </c>
      <c r="N14" s="467" t="s">
        <v>783</v>
      </c>
      <c r="O14" s="467" t="s">
        <v>846</v>
      </c>
      <c r="P14" s="7"/>
    </row>
    <row r="15" spans="1:26" s="7" customFormat="1" ht="18.75" customHeight="1">
      <c r="B15" s="468" t="s">
        <v>188</v>
      </c>
      <c r="C15" s="1183"/>
      <c r="D15" s="469">
        <v>2010</v>
      </c>
      <c r="E15" s="469">
        <v>2011</v>
      </c>
      <c r="F15" s="469">
        <v>2012</v>
      </c>
      <c r="G15" s="469">
        <v>2013</v>
      </c>
      <c r="H15" s="469">
        <v>2014</v>
      </c>
      <c r="I15" s="469">
        <v>2015</v>
      </c>
      <c r="J15" s="469">
        <v>2016</v>
      </c>
      <c r="K15" s="469">
        <v>2017</v>
      </c>
      <c r="L15" s="469">
        <v>2018</v>
      </c>
      <c r="M15" s="469">
        <v>2019</v>
      </c>
      <c r="N15" s="469">
        <v>2020</v>
      </c>
      <c r="O15" s="470">
        <v>2021</v>
      </c>
    </row>
    <row r="16" spans="1:26" s="111" customFormat="1" ht="18" customHeight="1">
      <c r="B16" s="471" t="s">
        <v>559</v>
      </c>
      <c r="C16" s="1184"/>
      <c r="D16" s="472">
        <v>4</v>
      </c>
      <c r="E16" s="472">
        <v>4</v>
      </c>
      <c r="F16" s="472">
        <v>4</v>
      </c>
      <c r="G16" s="472">
        <v>4</v>
      </c>
      <c r="H16" s="472"/>
      <c r="I16" s="472"/>
      <c r="J16" s="472"/>
      <c r="K16" s="472"/>
      <c r="L16" s="472"/>
      <c r="M16" s="472"/>
      <c r="N16" s="472"/>
      <c r="O16" s="473"/>
    </row>
    <row r="17" spans="1:15" s="111" customFormat="1" ht="17.25" customHeight="1">
      <c r="B17" s="474" t="s">
        <v>560</v>
      </c>
      <c r="C17" s="1185"/>
      <c r="D17" s="112">
        <f>12-D16</f>
        <v>8</v>
      </c>
      <c r="E17" s="112">
        <f>12-E16</f>
        <v>8</v>
      </c>
      <c r="F17" s="112">
        <f t="shared" ref="F17:K17" si="0">12-F16</f>
        <v>8</v>
      </c>
      <c r="G17" s="112">
        <f t="shared" si="0"/>
        <v>8</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5" t="str">
        <f>'1.  LRAMVA Summary'!B29</f>
        <v>Residential</v>
      </c>
      <c r="C18" s="1186" t="str">
        <f>'2. LRAMVA Threshold'!D43</f>
        <v>kWh</v>
      </c>
      <c r="D18" s="46">
        <v>1.6899999999999998E-2</v>
      </c>
      <c r="E18" s="46">
        <v>1.7000000000000001E-2</v>
      </c>
      <c r="F18" s="46">
        <v>1.72E-2</v>
      </c>
      <c r="G18" s="46">
        <v>1.7299999999999999E-2</v>
      </c>
      <c r="H18" s="46">
        <v>1.6199999999999999E-2</v>
      </c>
      <c r="I18" s="46">
        <v>1.6400000000000001E-2</v>
      </c>
      <c r="J18" s="46">
        <v>1.2500000000000001E-2</v>
      </c>
      <c r="K18" s="46">
        <v>8.3999999999999995E-3</v>
      </c>
      <c r="L18" s="46">
        <v>4.1999999999999997E-3</v>
      </c>
      <c r="M18" s="46"/>
      <c r="N18" s="46"/>
      <c r="O18" s="69"/>
    </row>
    <row r="19" spans="1:15" s="7" customFormat="1" ht="15" customHeight="1" outlineLevel="1">
      <c r="B19" s="531" t="s">
        <v>511</v>
      </c>
      <c r="C19" s="1184"/>
      <c r="D19" s="46"/>
      <c r="E19" s="46">
        <v>-2.0000000000000001E-4</v>
      </c>
      <c r="F19" s="46">
        <v>-4.0000000000000002E-4</v>
      </c>
      <c r="G19" s="46">
        <v>-4.0000000000000002E-4</v>
      </c>
      <c r="H19" s="46"/>
      <c r="I19" s="46"/>
      <c r="J19" s="46"/>
      <c r="K19" s="46"/>
      <c r="L19" s="46"/>
      <c r="M19" s="46"/>
      <c r="N19" s="46"/>
      <c r="O19" s="69"/>
    </row>
    <row r="20" spans="1:15" s="7" customFormat="1" ht="15" customHeight="1" outlineLevel="1">
      <c r="B20" s="531" t="s">
        <v>512</v>
      </c>
      <c r="C20" s="1184"/>
      <c r="D20" s="46"/>
      <c r="E20" s="46"/>
      <c r="F20" s="46"/>
      <c r="G20" s="46"/>
      <c r="H20" s="46"/>
      <c r="I20" s="46"/>
      <c r="J20" s="46"/>
      <c r="K20" s="46"/>
      <c r="L20" s="46"/>
      <c r="M20" s="46"/>
      <c r="N20" s="46"/>
      <c r="O20" s="69"/>
    </row>
    <row r="21" spans="1:15" s="7" customFormat="1" ht="15" customHeight="1" outlineLevel="1">
      <c r="B21" s="531" t="s">
        <v>490</v>
      </c>
      <c r="C21" s="1184"/>
      <c r="D21" s="46"/>
      <c r="E21" s="46"/>
      <c r="F21" s="46"/>
      <c r="G21" s="46"/>
      <c r="H21" s="46"/>
      <c r="I21" s="46"/>
      <c r="J21" s="46"/>
      <c r="K21" s="46"/>
      <c r="L21" s="46"/>
      <c r="M21" s="46"/>
      <c r="N21" s="46"/>
      <c r="O21" s="69"/>
    </row>
    <row r="22" spans="1:15" s="7" customFormat="1" ht="14.25" customHeight="1">
      <c r="B22" s="531" t="s">
        <v>513</v>
      </c>
      <c r="C22" s="1187"/>
      <c r="D22" s="65">
        <f>SUM(D18:D21)</f>
        <v>1.6899999999999998E-2</v>
      </c>
      <c r="E22" s="65">
        <f>SUM(E18:E21)</f>
        <v>1.6800000000000002E-2</v>
      </c>
      <c r="F22" s="65">
        <f>SUM(F18:F21)</f>
        <v>1.6799999999999999E-2</v>
      </c>
      <c r="G22" s="65">
        <f t="shared" ref="G22:N22" si="2">SUM(G18:G21)</f>
        <v>1.6899999999999998E-2</v>
      </c>
      <c r="H22" s="65">
        <f t="shared" si="2"/>
        <v>1.6199999999999999E-2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87" t="s">
        <v>514</v>
      </c>
      <c r="C23" s="477"/>
      <c r="D23" s="478"/>
      <c r="E23" s="479">
        <f>ROUND(SUM(D22*E16+E22*E17)/12,4)</f>
        <v>1.6799999999999999E-2</v>
      </c>
      <c r="F23" s="479">
        <f>ROUND(SUM(E22*F16+F22*F17)/12,4)</f>
        <v>1.6799999999999999E-2</v>
      </c>
      <c r="G23" s="479">
        <f>ROUND(SUM(F22*G16+G22*G17)/12,4)</f>
        <v>1.6899999999999998E-2</v>
      </c>
      <c r="H23" s="479">
        <f>ROUND(SUM(G22*H16+H22*H17)/12,4)</f>
        <v>1.6199999999999999E-2</v>
      </c>
      <c r="I23" s="479">
        <f>ROUND(SUM(H22*I16+I22*I17)/12,4)</f>
        <v>1.6400000000000001E-2</v>
      </c>
      <c r="J23" s="479">
        <f t="shared" ref="J23:N23" si="3">ROUND(SUM(I22*J16+J22*J17)/12,4)</f>
        <v>1.2500000000000001E-2</v>
      </c>
      <c r="K23" s="479">
        <f t="shared" si="3"/>
        <v>8.3999999999999995E-3</v>
      </c>
      <c r="L23" s="479">
        <f t="shared" si="3"/>
        <v>4.1999999999999997E-3</v>
      </c>
      <c r="M23" s="479">
        <f t="shared" si="3"/>
        <v>0</v>
      </c>
      <c r="N23" s="479">
        <f t="shared" si="3"/>
        <v>0</v>
      </c>
      <c r="O23" s="480"/>
    </row>
    <row r="24" spans="1:15" s="63" customFormat="1">
      <c r="A24" s="62"/>
      <c r="B24" s="476"/>
      <c r="C24" s="481"/>
      <c r="D24" s="478"/>
      <c r="E24" s="479"/>
      <c r="F24" s="479"/>
      <c r="G24" s="479"/>
      <c r="H24" s="479"/>
      <c r="I24" s="479"/>
      <c r="J24" s="479"/>
      <c r="K24" s="479"/>
      <c r="L24" s="482"/>
      <c r="M24" s="482"/>
      <c r="N24" s="482"/>
      <c r="O24" s="480"/>
    </row>
    <row r="25" spans="1:15" s="63" customFormat="1" ht="15.75" customHeight="1">
      <c r="A25" s="62"/>
      <c r="B25" s="599" t="str">
        <f>'1.  LRAMVA Summary'!B30</f>
        <v>GS&lt;50 kW</v>
      </c>
      <c r="C25" s="1186" t="str">
        <f>'2. LRAMVA Threshold'!E43</f>
        <v>kWh</v>
      </c>
      <c r="D25" s="46">
        <v>1.2200000000000001E-2</v>
      </c>
      <c r="E25" s="46">
        <v>1.2200000000000001E-2</v>
      </c>
      <c r="F25" s="46">
        <v>1.23E-2</v>
      </c>
      <c r="G25" s="46">
        <v>1.24E-2</v>
      </c>
      <c r="H25" s="46">
        <v>1.24E-2</v>
      </c>
      <c r="I25" s="46">
        <v>1.26E-2</v>
      </c>
      <c r="J25" s="46">
        <v>1.2800000000000001E-2</v>
      </c>
      <c r="K25" s="46">
        <v>1.2999999999999999E-2</v>
      </c>
      <c r="L25" s="46">
        <v>1.3100000000000001E-2</v>
      </c>
      <c r="M25" s="46"/>
      <c r="N25" s="46"/>
      <c r="O25" s="69"/>
    </row>
    <row r="26" spans="1:15" s="18" customFormat="1" outlineLevel="1">
      <c r="A26" s="4"/>
      <c r="B26" s="531" t="s">
        <v>511</v>
      </c>
      <c r="C26" s="1184"/>
      <c r="D26" s="46"/>
      <c r="E26" s="46">
        <v>-2.0000000000000001E-4</v>
      </c>
      <c r="F26" s="46">
        <v>-2.0000000000000001E-4</v>
      </c>
      <c r="G26" s="46">
        <v>-2.9999999999999997E-4</v>
      </c>
      <c r="H26" s="46"/>
      <c r="I26" s="46"/>
      <c r="J26" s="46"/>
      <c r="K26" s="46"/>
      <c r="L26" s="46"/>
      <c r="M26" s="46"/>
      <c r="N26" s="46"/>
      <c r="O26" s="69"/>
    </row>
    <row r="27" spans="1:15" s="18" customFormat="1" outlineLevel="1">
      <c r="A27" s="4"/>
      <c r="B27" s="531" t="s">
        <v>512</v>
      </c>
      <c r="C27" s="1184"/>
      <c r="D27" s="46"/>
      <c r="E27" s="46"/>
      <c r="F27" s="46"/>
      <c r="G27" s="46"/>
      <c r="H27" s="46"/>
      <c r="I27" s="46"/>
      <c r="J27" s="46"/>
      <c r="K27" s="46"/>
      <c r="L27" s="46"/>
      <c r="M27" s="46"/>
      <c r="N27" s="46"/>
      <c r="O27" s="69"/>
    </row>
    <row r="28" spans="1:15" s="18" customFormat="1" outlineLevel="1">
      <c r="A28" s="4"/>
      <c r="B28" s="531" t="s">
        <v>490</v>
      </c>
      <c r="C28" s="1184"/>
      <c r="D28" s="46"/>
      <c r="E28" s="46"/>
      <c r="F28" s="46"/>
      <c r="G28" s="46"/>
      <c r="H28" s="46"/>
      <c r="I28" s="46"/>
      <c r="J28" s="46"/>
      <c r="K28" s="46"/>
      <c r="L28" s="46"/>
      <c r="M28" s="46"/>
      <c r="N28" s="46"/>
      <c r="O28" s="69"/>
    </row>
    <row r="29" spans="1:15" s="18" customFormat="1">
      <c r="A29" s="4"/>
      <c r="B29" s="531" t="s">
        <v>513</v>
      </c>
      <c r="C29" s="1187"/>
      <c r="D29" s="65">
        <f>SUM(D25:D28)</f>
        <v>1.2200000000000001E-2</v>
      </c>
      <c r="E29" s="65">
        <f t="shared" ref="E29:N29" si="4">SUM(E25:E28)</f>
        <v>1.2E-2</v>
      </c>
      <c r="F29" s="65">
        <f t="shared" si="4"/>
        <v>1.21E-2</v>
      </c>
      <c r="G29" s="65">
        <f t="shared" si="4"/>
        <v>1.21E-2</v>
      </c>
      <c r="H29" s="65">
        <f t="shared" si="4"/>
        <v>1.24E-2</v>
      </c>
      <c r="I29" s="65">
        <f t="shared" si="4"/>
        <v>1.26E-2</v>
      </c>
      <c r="J29" s="65">
        <f t="shared" si="4"/>
        <v>1.2800000000000001E-2</v>
      </c>
      <c r="K29" s="65">
        <f t="shared" si="4"/>
        <v>1.2999999999999999E-2</v>
      </c>
      <c r="L29" s="65">
        <f t="shared" si="4"/>
        <v>1.3100000000000001E-2</v>
      </c>
      <c r="M29" s="65">
        <f t="shared" si="4"/>
        <v>0</v>
      </c>
      <c r="N29" s="65">
        <f t="shared" si="4"/>
        <v>0</v>
      </c>
      <c r="O29" s="76"/>
    </row>
    <row r="30" spans="1:15" s="18" customFormat="1">
      <c r="A30" s="4"/>
      <c r="B30" s="487" t="s">
        <v>514</v>
      </c>
      <c r="C30" s="483"/>
      <c r="D30" s="71"/>
      <c r="E30" s="479">
        <f>ROUND(SUM(D29*E16+E29*E17)/12,4)</f>
        <v>1.21E-2</v>
      </c>
      <c r="F30" s="479">
        <f t="shared" ref="F30:N30" si="5">ROUND(SUM(E29*F16+F29*F17)/12,4)</f>
        <v>1.21E-2</v>
      </c>
      <c r="G30" s="479">
        <f t="shared" si="5"/>
        <v>1.21E-2</v>
      </c>
      <c r="H30" s="479">
        <f t="shared" si="5"/>
        <v>1.24E-2</v>
      </c>
      <c r="I30" s="479">
        <f t="shared" si="5"/>
        <v>1.26E-2</v>
      </c>
      <c r="J30" s="479">
        <f>ROUND(SUM(I29*J16+J29*J17)/12,4)</f>
        <v>1.2800000000000001E-2</v>
      </c>
      <c r="K30" s="479">
        <f t="shared" si="5"/>
        <v>1.2999999999999999E-2</v>
      </c>
      <c r="L30" s="479">
        <f t="shared" si="5"/>
        <v>1.3100000000000001E-2</v>
      </c>
      <c r="M30" s="479">
        <f t="shared" si="5"/>
        <v>0</v>
      </c>
      <c r="N30" s="479">
        <f t="shared" si="5"/>
        <v>0</v>
      </c>
      <c r="O30" s="484"/>
    </row>
    <row r="31" spans="1:15" s="18" customFormat="1">
      <c r="A31" s="4"/>
      <c r="B31" s="476"/>
      <c r="C31" s="485"/>
      <c r="D31" s="486"/>
      <c r="E31" s="486"/>
      <c r="F31" s="486"/>
      <c r="G31" s="486"/>
      <c r="H31" s="486"/>
      <c r="I31" s="486"/>
      <c r="J31" s="486"/>
      <c r="K31" s="486"/>
      <c r="L31" s="486"/>
      <c r="M31" s="486"/>
      <c r="N31" s="482"/>
      <c r="O31" s="484"/>
    </row>
    <row r="32" spans="1:15" s="64" customFormat="1">
      <c r="B32" s="599" t="str">
        <f>'1.  LRAMVA Summary'!B31</f>
        <v>GS&gt; 50 kW</v>
      </c>
      <c r="C32" s="1186" t="str">
        <f>'2. LRAMVA Threshold'!F43</f>
        <v>kW</v>
      </c>
      <c r="D32" s="46">
        <v>3.9737</v>
      </c>
      <c r="E32" s="46">
        <v>3.9887999999999999</v>
      </c>
      <c r="F32" s="46">
        <v>4.0319000000000003</v>
      </c>
      <c r="G32" s="46">
        <v>4.0593000000000004</v>
      </c>
      <c r="H32" s="46">
        <v>4.42</v>
      </c>
      <c r="I32" s="46">
        <v>4.4840999999999998</v>
      </c>
      <c r="J32" s="46">
        <v>4.5715000000000003</v>
      </c>
      <c r="K32" s="46">
        <v>4.6515000000000004</v>
      </c>
      <c r="L32" s="46">
        <v>4.7003000000000004</v>
      </c>
      <c r="M32" s="46"/>
      <c r="N32" s="46"/>
      <c r="O32" s="69"/>
    </row>
    <row r="33" spans="1:15" s="18" customFormat="1" outlineLevel="1">
      <c r="A33" s="4"/>
      <c r="B33" s="531" t="s">
        <v>511</v>
      </c>
      <c r="C33" s="1184"/>
      <c r="D33" s="46"/>
      <c r="E33" s="46">
        <v>-3.6900000000000002E-2</v>
      </c>
      <c r="F33" s="46">
        <v>-6.0199999999999997E-2</v>
      </c>
      <c r="G33" s="46">
        <v>-6.7599999999999993E-2</v>
      </c>
      <c r="H33" s="46"/>
      <c r="I33" s="46"/>
      <c r="J33" s="46"/>
      <c r="K33" s="46"/>
      <c r="L33" s="46"/>
      <c r="M33" s="46"/>
      <c r="N33" s="46"/>
      <c r="O33" s="69"/>
    </row>
    <row r="34" spans="1:15" s="18" customFormat="1" outlineLevel="1">
      <c r="A34" s="4"/>
      <c r="B34" s="531" t="s">
        <v>512</v>
      </c>
      <c r="C34" s="1184"/>
      <c r="D34" s="46"/>
      <c r="E34" s="46"/>
      <c r="F34" s="46"/>
      <c r="G34" s="46"/>
      <c r="H34" s="46"/>
      <c r="I34" s="46"/>
      <c r="J34" s="46"/>
      <c r="K34" s="46"/>
      <c r="L34" s="46"/>
      <c r="M34" s="46"/>
      <c r="N34" s="46"/>
      <c r="O34" s="69"/>
    </row>
    <row r="35" spans="1:15" s="18" customFormat="1" outlineLevel="1">
      <c r="A35" s="4"/>
      <c r="B35" s="531" t="s">
        <v>490</v>
      </c>
      <c r="C35" s="1184"/>
      <c r="D35" s="46"/>
      <c r="E35" s="46"/>
      <c r="F35" s="46"/>
      <c r="G35" s="46"/>
      <c r="H35" s="46"/>
      <c r="I35" s="46"/>
      <c r="J35" s="46"/>
      <c r="K35" s="46"/>
      <c r="L35" s="46"/>
      <c r="M35" s="46"/>
      <c r="N35" s="46"/>
      <c r="O35" s="69"/>
    </row>
    <row r="36" spans="1:15" s="18" customFormat="1">
      <c r="A36" s="4"/>
      <c r="B36" s="531" t="s">
        <v>513</v>
      </c>
      <c r="C36" s="1187"/>
      <c r="D36" s="65">
        <f>SUM(D32:D35)</f>
        <v>3.9737</v>
      </c>
      <c r="E36" s="65">
        <f>SUM(E32:E35)</f>
        <v>3.9518999999999997</v>
      </c>
      <c r="F36" s="65">
        <f t="shared" ref="F36:M36" si="6">SUM(F32:F35)</f>
        <v>3.9717000000000002</v>
      </c>
      <c r="G36" s="65">
        <f t="shared" si="6"/>
        <v>3.9917000000000002</v>
      </c>
      <c r="H36" s="65">
        <f t="shared" si="6"/>
        <v>4.42</v>
      </c>
      <c r="I36" s="65">
        <f t="shared" si="6"/>
        <v>4.4840999999999998</v>
      </c>
      <c r="J36" s="65">
        <f t="shared" si="6"/>
        <v>4.5715000000000003</v>
      </c>
      <c r="K36" s="65">
        <f t="shared" si="6"/>
        <v>4.6515000000000004</v>
      </c>
      <c r="L36" s="65">
        <f t="shared" si="6"/>
        <v>4.7003000000000004</v>
      </c>
      <c r="M36" s="65">
        <f t="shared" si="6"/>
        <v>0</v>
      </c>
      <c r="N36" s="65">
        <f>SUM(N32:N35)</f>
        <v>0</v>
      </c>
      <c r="O36" s="76"/>
    </row>
    <row r="37" spans="1:15" s="18" customFormat="1">
      <c r="A37" s="4"/>
      <c r="B37" s="487" t="s">
        <v>514</v>
      </c>
      <c r="C37" s="483"/>
      <c r="D37" s="71"/>
      <c r="E37" s="479">
        <f t="shared" ref="E37:N37" si="7">ROUND(SUM(D36*E16+E36*E17)/12,4)</f>
        <v>3.9592000000000001</v>
      </c>
      <c r="F37" s="479">
        <f t="shared" si="7"/>
        <v>3.9651000000000001</v>
      </c>
      <c r="G37" s="479">
        <f t="shared" si="7"/>
        <v>3.9849999999999999</v>
      </c>
      <c r="H37" s="479">
        <f t="shared" si="7"/>
        <v>4.42</v>
      </c>
      <c r="I37" s="479">
        <f t="shared" si="7"/>
        <v>4.4840999999999998</v>
      </c>
      <c r="J37" s="479">
        <f t="shared" si="7"/>
        <v>4.5715000000000003</v>
      </c>
      <c r="K37" s="479">
        <f t="shared" si="7"/>
        <v>4.6515000000000004</v>
      </c>
      <c r="L37" s="479">
        <f t="shared" si="7"/>
        <v>4.7003000000000004</v>
      </c>
      <c r="M37" s="479">
        <f t="shared" si="7"/>
        <v>0</v>
      </c>
      <c r="N37" s="479">
        <f t="shared" si="7"/>
        <v>0</v>
      </c>
      <c r="O37" s="484"/>
    </row>
    <row r="38" spans="1:15" s="70" customFormat="1" ht="15.75" customHeight="1">
      <c r="B38" s="487"/>
      <c r="C38" s="483"/>
      <c r="D38" s="71"/>
      <c r="E38" s="71"/>
      <c r="F38" s="71"/>
      <c r="G38" s="71"/>
      <c r="H38" s="71"/>
      <c r="I38" s="71"/>
      <c r="J38" s="71"/>
      <c r="K38" s="71"/>
      <c r="L38" s="482"/>
      <c r="M38" s="482"/>
      <c r="N38" s="482"/>
      <c r="O38" s="488"/>
    </row>
    <row r="39" spans="1:15" s="64" customFormat="1">
      <c r="A39" s="62"/>
      <c r="B39" s="599" t="str">
        <f>'1.  LRAMVA Summary'!B32</f>
        <v>Streetlighting kW</v>
      </c>
      <c r="C39" s="1186" t="str">
        <f>'2. LRAMVA Threshold'!G43</f>
        <v>kW</v>
      </c>
      <c r="D39" s="46"/>
      <c r="E39" s="46"/>
      <c r="F39" s="46"/>
      <c r="G39" s="46"/>
      <c r="H39" s="46"/>
      <c r="I39" s="46"/>
      <c r="J39" s="46"/>
      <c r="K39" s="46"/>
      <c r="L39" s="46"/>
      <c r="M39" s="46"/>
      <c r="N39" s="46"/>
      <c r="O39" s="69"/>
    </row>
    <row r="40" spans="1:15" s="18" customFormat="1" outlineLevel="1">
      <c r="A40" s="4"/>
      <c r="B40" s="531" t="s">
        <v>511</v>
      </c>
      <c r="C40" s="1184"/>
      <c r="D40" s="46"/>
      <c r="E40" s="46"/>
      <c r="F40" s="46"/>
      <c r="G40" s="46"/>
      <c r="H40" s="46"/>
      <c r="I40" s="46"/>
      <c r="J40" s="46"/>
      <c r="K40" s="46">
        <v>4.8948999999999998</v>
      </c>
      <c r="L40" s="46">
        <v>4.9462999999999999</v>
      </c>
      <c r="M40" s="46"/>
      <c r="N40" s="46"/>
      <c r="O40" s="69"/>
    </row>
    <row r="41" spans="1:15" s="18" customFormat="1" outlineLevel="1">
      <c r="A41" s="4"/>
      <c r="B41" s="531" t="s">
        <v>512</v>
      </c>
      <c r="C41" s="1184"/>
      <c r="D41" s="46"/>
      <c r="E41" s="46"/>
      <c r="F41" s="46"/>
      <c r="G41" s="46"/>
      <c r="H41" s="46"/>
      <c r="I41" s="46"/>
      <c r="J41" s="46"/>
      <c r="K41" s="46"/>
      <c r="L41" s="46"/>
      <c r="M41" s="46"/>
      <c r="N41" s="46"/>
      <c r="O41" s="69"/>
    </row>
    <row r="42" spans="1:15" s="18" customFormat="1" outlineLevel="1">
      <c r="A42" s="4"/>
      <c r="B42" s="531" t="s">
        <v>490</v>
      </c>
      <c r="C42" s="1184"/>
      <c r="D42" s="46"/>
      <c r="E42" s="46"/>
      <c r="F42" s="46"/>
      <c r="G42" s="46"/>
      <c r="H42" s="46"/>
      <c r="I42" s="46"/>
      <c r="J42" s="46"/>
      <c r="K42" s="46"/>
      <c r="L42" s="46"/>
      <c r="M42" s="46"/>
      <c r="N42" s="46"/>
      <c r="O42" s="69"/>
    </row>
    <row r="43" spans="1:15" s="18" customFormat="1">
      <c r="A43" s="4"/>
      <c r="B43" s="531" t="s">
        <v>513</v>
      </c>
      <c r="C43" s="1187"/>
      <c r="D43" s="65">
        <f>SUM(D39:D42)</f>
        <v>0</v>
      </c>
      <c r="E43" s="65">
        <f t="shared" ref="E43:N43" si="8">SUM(E39:E42)</f>
        <v>0</v>
      </c>
      <c r="F43" s="65">
        <f t="shared" si="8"/>
        <v>0</v>
      </c>
      <c r="G43" s="65">
        <f t="shared" si="8"/>
        <v>0</v>
      </c>
      <c r="H43" s="65">
        <f t="shared" si="8"/>
        <v>0</v>
      </c>
      <c r="I43" s="65">
        <f t="shared" si="8"/>
        <v>0</v>
      </c>
      <c r="J43" s="65">
        <f t="shared" si="8"/>
        <v>0</v>
      </c>
      <c r="K43" s="65">
        <f t="shared" si="8"/>
        <v>4.8948999999999998</v>
      </c>
      <c r="L43" s="65">
        <f t="shared" si="8"/>
        <v>4.9462999999999999</v>
      </c>
      <c r="M43" s="65">
        <f t="shared" si="8"/>
        <v>0</v>
      </c>
      <c r="N43" s="65">
        <f t="shared" si="8"/>
        <v>0</v>
      </c>
      <c r="O43" s="76"/>
    </row>
    <row r="44" spans="1:15" s="14" customFormat="1">
      <c r="A44" s="72"/>
      <c r="B44" s="487" t="s">
        <v>514</v>
      </c>
      <c r="C44" s="483"/>
      <c r="D44" s="71"/>
      <c r="E44" s="479">
        <f t="shared" ref="E44:N44" si="9">ROUND(SUM(D43*E16+E43*E17)/12,4)</f>
        <v>0</v>
      </c>
      <c r="F44" s="479">
        <f t="shared" si="9"/>
        <v>0</v>
      </c>
      <c r="G44" s="479">
        <f t="shared" si="9"/>
        <v>0</v>
      </c>
      <c r="H44" s="479">
        <f t="shared" si="9"/>
        <v>0</v>
      </c>
      <c r="I44" s="479">
        <f t="shared" si="9"/>
        <v>0</v>
      </c>
      <c r="J44" s="479">
        <f t="shared" si="9"/>
        <v>0</v>
      </c>
      <c r="K44" s="479">
        <f t="shared" si="9"/>
        <v>4.8948999999999998</v>
      </c>
      <c r="L44" s="479">
        <f t="shared" si="9"/>
        <v>4.9462999999999999</v>
      </c>
      <c r="M44" s="479">
        <f t="shared" si="9"/>
        <v>0</v>
      </c>
      <c r="N44" s="479">
        <f t="shared" si="9"/>
        <v>0</v>
      </c>
      <c r="O44" s="484"/>
    </row>
    <row r="45" spans="1:15" s="70" customFormat="1" ht="14.25">
      <c r="A45" s="72"/>
      <c r="B45" s="487"/>
      <c r="C45" s="483"/>
      <c r="D45" s="71"/>
      <c r="E45" s="71"/>
      <c r="F45" s="71"/>
      <c r="G45" s="71"/>
      <c r="H45" s="71"/>
      <c r="I45" s="71"/>
      <c r="J45" s="71"/>
      <c r="K45" s="71"/>
      <c r="L45" s="482"/>
      <c r="M45" s="482"/>
      <c r="N45" s="482"/>
      <c r="O45" s="488"/>
    </row>
    <row r="46" spans="1:15" s="64" customFormat="1">
      <c r="A46" s="62"/>
      <c r="B46" s="599">
        <f>'1.  LRAMVA Summary'!B33</f>
        <v>0</v>
      </c>
      <c r="C46" s="1186">
        <f>'2. LRAMVA Threshold'!H43</f>
        <v>0</v>
      </c>
      <c r="D46" s="46"/>
      <c r="E46" s="46"/>
      <c r="F46" s="46"/>
      <c r="G46" s="46"/>
      <c r="H46" s="46"/>
      <c r="I46" s="46"/>
      <c r="J46" s="46"/>
      <c r="K46" s="46"/>
      <c r="L46" s="46"/>
      <c r="M46" s="46"/>
      <c r="N46" s="46"/>
      <c r="O46" s="69"/>
    </row>
    <row r="47" spans="1:15" s="18" customFormat="1" hidden="1" outlineLevel="1">
      <c r="A47" s="4"/>
      <c r="B47" s="531" t="s">
        <v>511</v>
      </c>
      <c r="C47" s="1184"/>
      <c r="D47" s="46"/>
      <c r="E47" s="46"/>
      <c r="F47" s="46"/>
      <c r="G47" s="46"/>
      <c r="H47" s="46"/>
      <c r="I47" s="46"/>
      <c r="J47" s="46"/>
      <c r="K47" s="46"/>
      <c r="L47" s="46"/>
      <c r="M47" s="46"/>
      <c r="N47" s="46"/>
      <c r="O47" s="69"/>
    </row>
    <row r="48" spans="1:15" s="18" customFormat="1" hidden="1" outlineLevel="1">
      <c r="A48" s="4"/>
      <c r="B48" s="531" t="s">
        <v>512</v>
      </c>
      <c r="C48" s="1184"/>
      <c r="D48" s="46"/>
      <c r="E48" s="46"/>
      <c r="F48" s="46"/>
      <c r="G48" s="46"/>
      <c r="H48" s="46"/>
      <c r="I48" s="46"/>
      <c r="J48" s="46"/>
      <c r="K48" s="46"/>
      <c r="L48" s="46"/>
      <c r="M48" s="46"/>
      <c r="N48" s="46"/>
      <c r="O48" s="69"/>
    </row>
    <row r="49" spans="1:15" s="18" customFormat="1" hidden="1" outlineLevel="1">
      <c r="A49" s="4"/>
      <c r="B49" s="531" t="s">
        <v>490</v>
      </c>
      <c r="C49" s="1184"/>
      <c r="D49" s="46"/>
      <c r="E49" s="46"/>
      <c r="F49" s="46"/>
      <c r="G49" s="46"/>
      <c r="H49" s="46"/>
      <c r="I49" s="46"/>
      <c r="J49" s="46"/>
      <c r="K49" s="46"/>
      <c r="L49" s="46"/>
      <c r="M49" s="46"/>
      <c r="N49" s="46"/>
      <c r="O49" s="69"/>
    </row>
    <row r="50" spans="1:15" s="18" customFormat="1" collapsed="1">
      <c r="A50" s="4"/>
      <c r="B50" s="531" t="s">
        <v>513</v>
      </c>
      <c r="C50" s="1187"/>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87" t="s">
        <v>514</v>
      </c>
      <c r="C51" s="483"/>
      <c r="D51" s="71"/>
      <c r="E51" s="479">
        <f t="shared" ref="E51:N51" si="11">ROUND(SUM(D50*E16+E50*E17)/12,4)</f>
        <v>0</v>
      </c>
      <c r="F51" s="479">
        <f t="shared" si="11"/>
        <v>0</v>
      </c>
      <c r="G51" s="479">
        <f t="shared" si="11"/>
        <v>0</v>
      </c>
      <c r="H51" s="479">
        <f t="shared" si="11"/>
        <v>0</v>
      </c>
      <c r="I51" s="479">
        <f t="shared" si="11"/>
        <v>0</v>
      </c>
      <c r="J51" s="479">
        <f t="shared" si="11"/>
        <v>0</v>
      </c>
      <c r="K51" s="479">
        <f t="shared" si="11"/>
        <v>0</v>
      </c>
      <c r="L51" s="479">
        <f t="shared" si="11"/>
        <v>0</v>
      </c>
      <c r="M51" s="479">
        <f t="shared" si="11"/>
        <v>0</v>
      </c>
      <c r="N51" s="479">
        <f t="shared" si="11"/>
        <v>0</v>
      </c>
      <c r="O51" s="484"/>
    </row>
    <row r="52" spans="1:15" s="70" customFormat="1" ht="14.25">
      <c r="A52" s="72"/>
      <c r="B52" s="487"/>
      <c r="C52" s="483"/>
      <c r="D52" s="71"/>
      <c r="E52" s="71"/>
      <c r="F52" s="71"/>
      <c r="G52" s="71"/>
      <c r="H52" s="71"/>
      <c r="I52" s="71"/>
      <c r="J52" s="71"/>
      <c r="K52" s="71"/>
      <c r="L52" s="489"/>
      <c r="M52" s="489"/>
      <c r="N52" s="489"/>
      <c r="O52" s="488"/>
    </row>
    <row r="53" spans="1:15" s="64" customFormat="1">
      <c r="A53" s="62"/>
      <c r="B53" s="599">
        <f>'1.  LRAMVA Summary'!B34</f>
        <v>0</v>
      </c>
      <c r="C53" s="1186">
        <f>'2. LRAMVA Threshold'!I43</f>
        <v>0</v>
      </c>
      <c r="D53" s="46"/>
      <c r="E53" s="46"/>
      <c r="F53" s="46"/>
      <c r="G53" s="46"/>
      <c r="H53" s="46"/>
      <c r="I53" s="46"/>
      <c r="J53" s="46"/>
      <c r="K53" s="46"/>
      <c r="L53" s="46"/>
      <c r="M53" s="46"/>
      <c r="N53" s="46"/>
      <c r="O53" s="69"/>
    </row>
    <row r="54" spans="1:15" s="18" customFormat="1" hidden="1" outlineLevel="1">
      <c r="A54" s="4"/>
      <c r="B54" s="531" t="s">
        <v>511</v>
      </c>
      <c r="C54" s="1184"/>
      <c r="D54" s="46"/>
      <c r="E54" s="46"/>
      <c r="F54" s="46"/>
      <c r="G54" s="46"/>
      <c r="H54" s="46"/>
      <c r="I54" s="46"/>
      <c r="J54" s="46"/>
      <c r="K54" s="46"/>
      <c r="L54" s="46"/>
      <c r="M54" s="46"/>
      <c r="N54" s="46"/>
      <c r="O54" s="69"/>
    </row>
    <row r="55" spans="1:15" s="18" customFormat="1" hidden="1" outlineLevel="1">
      <c r="A55" s="4"/>
      <c r="B55" s="531" t="s">
        <v>512</v>
      </c>
      <c r="C55" s="1184"/>
      <c r="D55" s="46"/>
      <c r="E55" s="46"/>
      <c r="F55" s="46"/>
      <c r="G55" s="46"/>
      <c r="H55" s="46"/>
      <c r="I55" s="46"/>
      <c r="J55" s="46"/>
      <c r="K55" s="46"/>
      <c r="L55" s="46"/>
      <c r="M55" s="46"/>
      <c r="N55" s="46"/>
      <c r="O55" s="69"/>
    </row>
    <row r="56" spans="1:15" s="18" customFormat="1" hidden="1" outlineLevel="1">
      <c r="A56" s="4"/>
      <c r="B56" s="531" t="s">
        <v>490</v>
      </c>
      <c r="C56" s="1184"/>
      <c r="D56" s="46"/>
      <c r="E56" s="46"/>
      <c r="F56" s="46"/>
      <c r="G56" s="46"/>
      <c r="H56" s="46"/>
      <c r="I56" s="46"/>
      <c r="J56" s="46"/>
      <c r="K56" s="46"/>
      <c r="L56" s="46"/>
      <c r="M56" s="46"/>
      <c r="N56" s="46"/>
      <c r="O56" s="69"/>
    </row>
    <row r="57" spans="1:15" s="18" customFormat="1" collapsed="1">
      <c r="A57" s="4"/>
      <c r="B57" s="531" t="s">
        <v>513</v>
      </c>
      <c r="C57" s="1187"/>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87" t="s">
        <v>514</v>
      </c>
      <c r="C58" s="483"/>
      <c r="D58" s="71"/>
      <c r="E58" s="479">
        <f t="shared" ref="E58:N58" si="13">ROUND(SUM(D57*E16+E57*E17)/12,4)</f>
        <v>0</v>
      </c>
      <c r="F58" s="479">
        <f t="shared" si="13"/>
        <v>0</v>
      </c>
      <c r="G58" s="479">
        <f t="shared" si="13"/>
        <v>0</v>
      </c>
      <c r="H58" s="479">
        <f t="shared" si="13"/>
        <v>0</v>
      </c>
      <c r="I58" s="479">
        <f t="shared" si="13"/>
        <v>0</v>
      </c>
      <c r="J58" s="479">
        <f t="shared" si="13"/>
        <v>0</v>
      </c>
      <c r="K58" s="479">
        <f t="shared" si="13"/>
        <v>0</v>
      </c>
      <c r="L58" s="479">
        <f t="shared" si="13"/>
        <v>0</v>
      </c>
      <c r="M58" s="479">
        <f t="shared" si="13"/>
        <v>0</v>
      </c>
      <c r="N58" s="479">
        <f t="shared" si="13"/>
        <v>0</v>
      </c>
      <c r="O58" s="484"/>
    </row>
    <row r="59" spans="1:15" s="70" customFormat="1" ht="14.25">
      <c r="A59" s="72"/>
      <c r="B59" s="487"/>
      <c r="C59" s="483"/>
      <c r="D59" s="71"/>
      <c r="E59" s="71"/>
      <c r="F59" s="71"/>
      <c r="G59" s="71"/>
      <c r="H59" s="71"/>
      <c r="I59" s="71"/>
      <c r="J59" s="71"/>
      <c r="K59" s="71"/>
      <c r="L59" s="489"/>
      <c r="M59" s="489"/>
      <c r="N59" s="489"/>
      <c r="O59" s="488"/>
    </row>
    <row r="60" spans="1:15" s="64" customFormat="1">
      <c r="A60" s="62"/>
      <c r="B60" s="599">
        <f>'1.  LRAMVA Summary'!B35</f>
        <v>0</v>
      </c>
      <c r="C60" s="1186">
        <f>'2. LRAMVA Threshold'!J43</f>
        <v>0</v>
      </c>
      <c r="D60" s="46"/>
      <c r="E60" s="46"/>
      <c r="F60" s="46"/>
      <c r="G60" s="46"/>
      <c r="H60" s="46"/>
      <c r="I60" s="46"/>
      <c r="J60" s="46"/>
      <c r="K60" s="46"/>
      <c r="L60" s="46"/>
      <c r="M60" s="46"/>
      <c r="N60" s="46"/>
      <c r="O60" s="69"/>
    </row>
    <row r="61" spans="1:15" s="18" customFormat="1" hidden="1" outlineLevel="1">
      <c r="A61" s="4"/>
      <c r="B61" s="531" t="s">
        <v>511</v>
      </c>
      <c r="C61" s="1184"/>
      <c r="D61" s="46"/>
      <c r="E61" s="46"/>
      <c r="F61" s="46"/>
      <c r="G61" s="46"/>
      <c r="H61" s="46"/>
      <c r="I61" s="46"/>
      <c r="J61" s="46"/>
      <c r="K61" s="46"/>
      <c r="L61" s="46"/>
      <c r="M61" s="46"/>
      <c r="N61" s="46"/>
      <c r="O61" s="69"/>
    </row>
    <row r="62" spans="1:15" s="18" customFormat="1" hidden="1" outlineLevel="1">
      <c r="A62" s="4"/>
      <c r="B62" s="531" t="s">
        <v>512</v>
      </c>
      <c r="C62" s="1184"/>
      <c r="D62" s="46"/>
      <c r="E62" s="46"/>
      <c r="F62" s="46"/>
      <c r="G62" s="46"/>
      <c r="H62" s="46"/>
      <c r="I62" s="46"/>
      <c r="J62" s="46"/>
      <c r="K62" s="46"/>
      <c r="L62" s="46"/>
      <c r="M62" s="46"/>
      <c r="N62" s="46"/>
      <c r="O62" s="69"/>
    </row>
    <row r="63" spans="1:15" s="18" customFormat="1" hidden="1" outlineLevel="1">
      <c r="A63" s="4"/>
      <c r="B63" s="531" t="s">
        <v>490</v>
      </c>
      <c r="C63" s="1184"/>
      <c r="D63" s="46"/>
      <c r="E63" s="46"/>
      <c r="F63" s="46"/>
      <c r="G63" s="46"/>
      <c r="H63" s="46"/>
      <c r="I63" s="46"/>
      <c r="J63" s="46"/>
      <c r="K63" s="46"/>
      <c r="L63" s="46"/>
      <c r="M63" s="46"/>
      <c r="N63" s="46"/>
      <c r="O63" s="69"/>
    </row>
    <row r="64" spans="1:15" s="18" customFormat="1" collapsed="1">
      <c r="A64" s="4"/>
      <c r="B64" s="531" t="s">
        <v>513</v>
      </c>
      <c r="C64" s="1187"/>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87" t="s">
        <v>514</v>
      </c>
      <c r="C65" s="483"/>
      <c r="D65" s="71"/>
      <c r="E65" s="479">
        <f t="shared" ref="E65:N65" si="15">ROUND(SUM(D64*E16+E64*E17)/12,4)</f>
        <v>0</v>
      </c>
      <c r="F65" s="479">
        <f t="shared" si="15"/>
        <v>0</v>
      </c>
      <c r="G65" s="479">
        <f t="shared" si="15"/>
        <v>0</v>
      </c>
      <c r="H65" s="479">
        <f t="shared" si="15"/>
        <v>0</v>
      </c>
      <c r="I65" s="479">
        <f>ROUND(SUM(H64*I16+I64*I17)/12,4)</f>
        <v>0</v>
      </c>
      <c r="J65" s="479">
        <f t="shared" si="15"/>
        <v>0</v>
      </c>
      <c r="K65" s="479">
        <f t="shared" si="15"/>
        <v>0</v>
      </c>
      <c r="L65" s="479">
        <f t="shared" si="15"/>
        <v>0</v>
      </c>
      <c r="M65" s="479">
        <f t="shared" si="15"/>
        <v>0</v>
      </c>
      <c r="N65" s="479">
        <f t="shared" si="15"/>
        <v>0</v>
      </c>
      <c r="O65" s="484"/>
    </row>
    <row r="66" spans="1:15" s="14" customFormat="1">
      <c r="A66" s="72"/>
      <c r="B66" s="73"/>
      <c r="C66" s="80"/>
      <c r="D66" s="71"/>
      <c r="E66" s="71"/>
      <c r="F66" s="71"/>
      <c r="G66" s="71"/>
      <c r="H66" s="71"/>
      <c r="I66" s="71"/>
      <c r="J66" s="71"/>
      <c r="K66" s="71"/>
      <c r="L66" s="482"/>
      <c r="M66" s="482"/>
      <c r="N66" s="482"/>
      <c r="O66" s="484"/>
    </row>
    <row r="67" spans="1:15" s="64" customFormat="1">
      <c r="A67" s="62"/>
      <c r="B67" s="599">
        <f>'1.  LRAMVA Summary'!B36</f>
        <v>0</v>
      </c>
      <c r="C67" s="1186">
        <f>'2. LRAMVA Threshold'!K43</f>
        <v>0</v>
      </c>
      <c r="D67" s="46"/>
      <c r="E67" s="46"/>
      <c r="F67" s="46"/>
      <c r="G67" s="46"/>
      <c r="H67" s="46"/>
      <c r="I67" s="46"/>
      <c r="J67" s="46"/>
      <c r="K67" s="46"/>
      <c r="L67" s="46"/>
      <c r="M67" s="46"/>
      <c r="N67" s="46"/>
      <c r="O67" s="69"/>
    </row>
    <row r="68" spans="1:15" s="18" customFormat="1" hidden="1" outlineLevel="1">
      <c r="A68" s="4"/>
      <c r="B68" s="531" t="s">
        <v>511</v>
      </c>
      <c r="C68" s="1184"/>
      <c r="D68" s="46"/>
      <c r="E68" s="46"/>
      <c r="F68" s="46"/>
      <c r="G68" s="46"/>
      <c r="H68" s="46"/>
      <c r="I68" s="46"/>
      <c r="J68" s="46"/>
      <c r="K68" s="46"/>
      <c r="L68" s="46"/>
      <c r="M68" s="46"/>
      <c r="N68" s="46"/>
      <c r="O68" s="69"/>
    </row>
    <row r="69" spans="1:15" s="18" customFormat="1" hidden="1" outlineLevel="1">
      <c r="A69" s="4"/>
      <c r="B69" s="531" t="s">
        <v>512</v>
      </c>
      <c r="C69" s="1184"/>
      <c r="D69" s="46"/>
      <c r="E69" s="46"/>
      <c r="F69" s="46"/>
      <c r="G69" s="46"/>
      <c r="H69" s="46"/>
      <c r="I69" s="46"/>
      <c r="J69" s="46"/>
      <c r="K69" s="46"/>
      <c r="L69" s="46"/>
      <c r="M69" s="46"/>
      <c r="N69" s="46"/>
      <c r="O69" s="69"/>
    </row>
    <row r="70" spans="1:15" s="18" customFormat="1" hidden="1" outlineLevel="1">
      <c r="A70" s="4"/>
      <c r="B70" s="531" t="s">
        <v>490</v>
      </c>
      <c r="C70" s="1184"/>
      <c r="D70" s="46"/>
      <c r="E70" s="46"/>
      <c r="F70" s="46"/>
      <c r="G70" s="46"/>
      <c r="H70" s="46"/>
      <c r="I70" s="46"/>
      <c r="J70" s="46"/>
      <c r="K70" s="46"/>
      <c r="L70" s="46"/>
      <c r="M70" s="46"/>
      <c r="N70" s="46"/>
      <c r="O70" s="69"/>
    </row>
    <row r="71" spans="1:15" s="18" customFormat="1" collapsed="1">
      <c r="A71" s="4"/>
      <c r="B71" s="531" t="s">
        <v>513</v>
      </c>
      <c r="C71" s="118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7" t="s">
        <v>514</v>
      </c>
      <c r="C72" s="483"/>
      <c r="D72" s="71"/>
      <c r="E72" s="479">
        <f t="shared" ref="E72:N72" si="17">ROUND(SUM(D71*E16+E71*E17)/12,4)</f>
        <v>0</v>
      </c>
      <c r="F72" s="479">
        <f t="shared" si="17"/>
        <v>0</v>
      </c>
      <c r="G72" s="479">
        <f t="shared" si="17"/>
        <v>0</v>
      </c>
      <c r="H72" s="479">
        <f t="shared" si="17"/>
        <v>0</v>
      </c>
      <c r="I72" s="479">
        <f t="shared" si="17"/>
        <v>0</v>
      </c>
      <c r="J72" s="479">
        <f t="shared" si="17"/>
        <v>0</v>
      </c>
      <c r="K72" s="479">
        <f t="shared" si="17"/>
        <v>0</v>
      </c>
      <c r="L72" s="479">
        <f t="shared" si="17"/>
        <v>0</v>
      </c>
      <c r="M72" s="479">
        <f t="shared" si="17"/>
        <v>0</v>
      </c>
      <c r="N72" s="479">
        <f t="shared" si="17"/>
        <v>0</v>
      </c>
      <c r="O72" s="484"/>
    </row>
    <row r="73" spans="1:15" s="14" customFormat="1">
      <c r="A73" s="72"/>
      <c r="B73" s="476"/>
      <c r="C73" s="483"/>
      <c r="D73" s="71"/>
      <c r="E73" s="479"/>
      <c r="F73" s="479"/>
      <c r="G73" s="479"/>
      <c r="H73" s="479"/>
      <c r="I73" s="479"/>
      <c r="J73" s="479"/>
      <c r="K73" s="479"/>
      <c r="L73" s="479"/>
      <c r="M73" s="479"/>
      <c r="N73" s="479"/>
      <c r="O73" s="484"/>
    </row>
    <row r="74" spans="1:15" s="64" customFormat="1">
      <c r="A74" s="62"/>
      <c r="B74" s="599">
        <f>'1.  LRAMVA Summary'!B37</f>
        <v>0</v>
      </c>
      <c r="C74" s="1186">
        <f>'2. LRAMVA Threshold'!L43</f>
        <v>0</v>
      </c>
      <c r="D74" s="46"/>
      <c r="E74" s="46"/>
      <c r="F74" s="46"/>
      <c r="G74" s="46"/>
      <c r="H74" s="46"/>
      <c r="I74" s="46"/>
      <c r="J74" s="46"/>
      <c r="K74" s="46"/>
      <c r="L74" s="46"/>
      <c r="M74" s="46"/>
      <c r="N74" s="46"/>
      <c r="O74" s="69"/>
    </row>
    <row r="75" spans="1:15" s="18" customFormat="1" hidden="1" outlineLevel="1">
      <c r="A75" s="4"/>
      <c r="B75" s="531" t="s">
        <v>511</v>
      </c>
      <c r="C75" s="1184"/>
      <c r="D75" s="46"/>
      <c r="E75" s="46"/>
      <c r="F75" s="46"/>
      <c r="G75" s="46"/>
      <c r="H75" s="46"/>
      <c r="I75" s="46"/>
      <c r="J75" s="46"/>
      <c r="K75" s="46"/>
      <c r="L75" s="46"/>
      <c r="M75" s="46"/>
      <c r="N75" s="46"/>
      <c r="O75" s="69"/>
    </row>
    <row r="76" spans="1:15" s="18" customFormat="1" hidden="1" outlineLevel="1">
      <c r="A76" s="4"/>
      <c r="B76" s="531" t="s">
        <v>512</v>
      </c>
      <c r="C76" s="1184"/>
      <c r="D76" s="46"/>
      <c r="E76" s="46"/>
      <c r="F76" s="46"/>
      <c r="G76" s="46"/>
      <c r="H76" s="46"/>
      <c r="I76" s="46"/>
      <c r="J76" s="46"/>
      <c r="K76" s="46"/>
      <c r="L76" s="46"/>
      <c r="M76" s="46"/>
      <c r="N76" s="46"/>
      <c r="O76" s="69"/>
    </row>
    <row r="77" spans="1:15" s="18" customFormat="1" hidden="1" outlineLevel="1">
      <c r="A77" s="4"/>
      <c r="B77" s="531" t="s">
        <v>490</v>
      </c>
      <c r="C77" s="1184"/>
      <c r="D77" s="46"/>
      <c r="E77" s="46"/>
      <c r="F77" s="46"/>
      <c r="G77" s="46"/>
      <c r="H77" s="46"/>
      <c r="I77" s="46"/>
      <c r="J77" s="46"/>
      <c r="K77" s="46"/>
      <c r="L77" s="46"/>
      <c r="M77" s="46"/>
      <c r="N77" s="46"/>
      <c r="O77" s="69"/>
    </row>
    <row r="78" spans="1:15" s="18" customFormat="1" collapsed="1">
      <c r="A78" s="4"/>
      <c r="B78" s="531" t="s">
        <v>513</v>
      </c>
      <c r="C78" s="118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7" t="s">
        <v>514</v>
      </c>
      <c r="C79" s="483"/>
      <c r="D79" s="71"/>
      <c r="E79" s="479">
        <f t="shared" ref="E79:N79" si="19">ROUND(SUM(D78*E16+E78*E17)/12,4)</f>
        <v>0</v>
      </c>
      <c r="F79" s="479">
        <f t="shared" si="19"/>
        <v>0</v>
      </c>
      <c r="G79" s="479">
        <f t="shared" si="19"/>
        <v>0</v>
      </c>
      <c r="H79" s="479">
        <f t="shared" si="19"/>
        <v>0</v>
      </c>
      <c r="I79" s="479">
        <f t="shared" si="19"/>
        <v>0</v>
      </c>
      <c r="J79" s="479">
        <f t="shared" si="19"/>
        <v>0</v>
      </c>
      <c r="K79" s="479">
        <f t="shared" si="19"/>
        <v>0</v>
      </c>
      <c r="L79" s="479">
        <f t="shared" si="19"/>
        <v>0</v>
      </c>
      <c r="M79" s="479">
        <f t="shared" si="19"/>
        <v>0</v>
      </c>
      <c r="N79" s="479">
        <f t="shared" si="19"/>
        <v>0</v>
      </c>
      <c r="O79" s="484"/>
    </row>
    <row r="80" spans="1:15" s="14" customFormat="1">
      <c r="A80" s="72"/>
      <c r="B80" s="476"/>
      <c r="C80" s="483"/>
      <c r="D80" s="71"/>
      <c r="E80" s="479"/>
      <c r="F80" s="479"/>
      <c r="G80" s="479"/>
      <c r="H80" s="479"/>
      <c r="I80" s="479"/>
      <c r="J80" s="479"/>
      <c r="K80" s="479"/>
      <c r="L80" s="479"/>
      <c r="M80" s="479"/>
      <c r="N80" s="479"/>
      <c r="O80" s="484"/>
    </row>
    <row r="81" spans="1:15" s="64" customFormat="1">
      <c r="A81" s="62"/>
      <c r="B81" s="599">
        <f>'1.  LRAMVA Summary'!B38</f>
        <v>0</v>
      </c>
      <c r="C81" s="1186">
        <f>'2. LRAMVA Threshold'!M43</f>
        <v>0</v>
      </c>
      <c r="D81" s="46"/>
      <c r="E81" s="46"/>
      <c r="F81" s="46"/>
      <c r="G81" s="46"/>
      <c r="H81" s="46"/>
      <c r="I81" s="46"/>
      <c r="J81" s="46"/>
      <c r="K81" s="46"/>
      <c r="L81" s="46"/>
      <c r="M81" s="46"/>
      <c r="N81" s="46"/>
      <c r="O81" s="69"/>
    </row>
    <row r="82" spans="1:15" s="18" customFormat="1" hidden="1" outlineLevel="1">
      <c r="A82" s="4"/>
      <c r="B82" s="531" t="s">
        <v>511</v>
      </c>
      <c r="C82" s="1184"/>
      <c r="D82" s="46"/>
      <c r="E82" s="46"/>
      <c r="F82" s="46"/>
      <c r="G82" s="46"/>
      <c r="H82" s="46"/>
      <c r="I82" s="46"/>
      <c r="J82" s="46"/>
      <c r="K82" s="46"/>
      <c r="L82" s="46"/>
      <c r="M82" s="46"/>
      <c r="N82" s="46"/>
      <c r="O82" s="69"/>
    </row>
    <row r="83" spans="1:15" s="18" customFormat="1" hidden="1" outlineLevel="1">
      <c r="A83" s="4"/>
      <c r="B83" s="531" t="s">
        <v>512</v>
      </c>
      <c r="C83" s="1184"/>
      <c r="D83" s="46"/>
      <c r="E83" s="46"/>
      <c r="F83" s="46"/>
      <c r="G83" s="46"/>
      <c r="H83" s="46"/>
      <c r="I83" s="46"/>
      <c r="J83" s="46"/>
      <c r="K83" s="46"/>
      <c r="L83" s="46"/>
      <c r="M83" s="46"/>
      <c r="N83" s="46"/>
      <c r="O83" s="69"/>
    </row>
    <row r="84" spans="1:15" s="18" customFormat="1" hidden="1" outlineLevel="1">
      <c r="A84" s="4"/>
      <c r="B84" s="531" t="s">
        <v>490</v>
      </c>
      <c r="C84" s="1184"/>
      <c r="D84" s="46"/>
      <c r="E84" s="46"/>
      <c r="F84" s="46"/>
      <c r="G84" s="46"/>
      <c r="H84" s="46"/>
      <c r="I84" s="46"/>
      <c r="J84" s="46"/>
      <c r="K84" s="46"/>
      <c r="L84" s="46"/>
      <c r="M84" s="46"/>
      <c r="N84" s="46"/>
      <c r="O84" s="69"/>
    </row>
    <row r="85" spans="1:15" s="18" customFormat="1" collapsed="1">
      <c r="A85" s="4"/>
      <c r="B85" s="531" t="s">
        <v>513</v>
      </c>
      <c r="C85" s="118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7" t="s">
        <v>514</v>
      </c>
      <c r="C86" s="483"/>
      <c r="D86" s="71"/>
      <c r="E86" s="479">
        <f t="shared" ref="E86:N86" si="21">ROUND(SUM(D85*E16+E85*E17)/12,4)</f>
        <v>0</v>
      </c>
      <c r="F86" s="479">
        <f t="shared" si="21"/>
        <v>0</v>
      </c>
      <c r="G86" s="479">
        <f t="shared" si="21"/>
        <v>0</v>
      </c>
      <c r="H86" s="479">
        <f t="shared" si="21"/>
        <v>0</v>
      </c>
      <c r="I86" s="479">
        <f t="shared" si="21"/>
        <v>0</v>
      </c>
      <c r="J86" s="479">
        <f t="shared" si="21"/>
        <v>0</v>
      </c>
      <c r="K86" s="479">
        <f t="shared" si="21"/>
        <v>0</v>
      </c>
      <c r="L86" s="479">
        <f t="shared" si="21"/>
        <v>0</v>
      </c>
      <c r="M86" s="479">
        <f t="shared" si="21"/>
        <v>0</v>
      </c>
      <c r="N86" s="479">
        <f t="shared" si="21"/>
        <v>0</v>
      </c>
      <c r="O86" s="484"/>
    </row>
    <row r="87" spans="1:15" s="14" customFormat="1">
      <c r="A87" s="72"/>
      <c r="B87" s="476"/>
      <c r="C87" s="483"/>
      <c r="D87" s="71"/>
      <c r="E87" s="479"/>
      <c r="F87" s="479"/>
      <c r="G87" s="479"/>
      <c r="H87" s="479"/>
      <c r="I87" s="479"/>
      <c r="J87" s="479"/>
      <c r="K87" s="479"/>
      <c r="L87" s="479"/>
      <c r="M87" s="479"/>
      <c r="N87" s="479"/>
      <c r="O87" s="484"/>
    </row>
    <row r="88" spans="1:15" s="64" customFormat="1">
      <c r="A88" s="62"/>
      <c r="B88" s="599">
        <f>'1.  LRAMVA Summary'!B39</f>
        <v>0</v>
      </c>
      <c r="C88" s="1186">
        <f>'2. LRAMVA Threshold'!N43</f>
        <v>0</v>
      </c>
      <c r="D88" s="46"/>
      <c r="E88" s="46"/>
      <c r="F88" s="46"/>
      <c r="G88" s="46"/>
      <c r="H88" s="46"/>
      <c r="I88" s="46"/>
      <c r="J88" s="46"/>
      <c r="K88" s="46"/>
      <c r="L88" s="46"/>
      <c r="M88" s="46"/>
      <c r="N88" s="46"/>
      <c r="O88" s="69"/>
    </row>
    <row r="89" spans="1:15" s="18" customFormat="1" hidden="1" outlineLevel="1">
      <c r="A89" s="4"/>
      <c r="B89" s="531" t="s">
        <v>511</v>
      </c>
      <c r="C89" s="1184"/>
      <c r="D89" s="46"/>
      <c r="E89" s="46"/>
      <c r="F89" s="46"/>
      <c r="G89" s="46"/>
      <c r="H89" s="46"/>
      <c r="I89" s="46"/>
      <c r="J89" s="46"/>
      <c r="K89" s="46"/>
      <c r="L89" s="46"/>
      <c r="M89" s="46"/>
      <c r="N89" s="46"/>
      <c r="O89" s="69"/>
    </row>
    <row r="90" spans="1:15" s="18" customFormat="1" hidden="1" outlineLevel="1">
      <c r="A90" s="4"/>
      <c r="B90" s="531" t="s">
        <v>512</v>
      </c>
      <c r="C90" s="1184"/>
      <c r="D90" s="46"/>
      <c r="E90" s="46"/>
      <c r="F90" s="46"/>
      <c r="G90" s="46"/>
      <c r="H90" s="46"/>
      <c r="I90" s="46"/>
      <c r="J90" s="46"/>
      <c r="K90" s="46"/>
      <c r="L90" s="46"/>
      <c r="M90" s="46"/>
      <c r="N90" s="46"/>
      <c r="O90" s="69"/>
    </row>
    <row r="91" spans="1:15" s="18" customFormat="1" hidden="1" outlineLevel="1">
      <c r="A91" s="4"/>
      <c r="B91" s="531" t="s">
        <v>490</v>
      </c>
      <c r="C91" s="1184"/>
      <c r="D91" s="46"/>
      <c r="E91" s="46"/>
      <c r="F91" s="46"/>
      <c r="G91" s="46"/>
      <c r="H91" s="46"/>
      <c r="I91" s="46"/>
      <c r="J91" s="46"/>
      <c r="K91" s="46"/>
      <c r="L91" s="46"/>
      <c r="M91" s="46"/>
      <c r="N91" s="46"/>
      <c r="O91" s="69"/>
    </row>
    <row r="92" spans="1:15" s="18" customFormat="1" collapsed="1">
      <c r="A92" s="4"/>
      <c r="B92" s="531" t="s">
        <v>513</v>
      </c>
      <c r="C92" s="118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7" t="s">
        <v>514</v>
      </c>
      <c r="C93" s="483"/>
      <c r="D93" s="71"/>
      <c r="E93" s="479">
        <f t="shared" ref="E93:N93" si="23">ROUND(SUM(D92*E16+E92*E17)/12,4)</f>
        <v>0</v>
      </c>
      <c r="F93" s="479">
        <f t="shared" si="23"/>
        <v>0</v>
      </c>
      <c r="G93" s="479">
        <f t="shared" si="23"/>
        <v>0</v>
      </c>
      <c r="H93" s="479">
        <f t="shared" si="23"/>
        <v>0</v>
      </c>
      <c r="I93" s="479">
        <f t="shared" si="23"/>
        <v>0</v>
      </c>
      <c r="J93" s="479">
        <f t="shared" si="23"/>
        <v>0</v>
      </c>
      <c r="K93" s="479">
        <f t="shared" si="23"/>
        <v>0</v>
      </c>
      <c r="L93" s="479">
        <f t="shared" si="23"/>
        <v>0</v>
      </c>
      <c r="M93" s="479">
        <f t="shared" si="23"/>
        <v>0</v>
      </c>
      <c r="N93" s="479">
        <f t="shared" si="23"/>
        <v>0</v>
      </c>
      <c r="O93" s="484"/>
    </row>
    <row r="94" spans="1:15" s="14" customFormat="1">
      <c r="A94" s="72"/>
      <c r="B94" s="476"/>
      <c r="C94" s="483"/>
      <c r="D94" s="71"/>
      <c r="E94" s="479"/>
      <c r="F94" s="479"/>
      <c r="G94" s="479"/>
      <c r="H94" s="479"/>
      <c r="I94" s="479"/>
      <c r="J94" s="479"/>
      <c r="K94" s="479"/>
      <c r="L94" s="479"/>
      <c r="M94" s="479"/>
      <c r="N94" s="479"/>
      <c r="O94" s="484"/>
    </row>
    <row r="95" spans="1:15" s="64" customFormat="1">
      <c r="A95" s="62"/>
      <c r="B95" s="599">
        <f>'1.  LRAMVA Summary'!B40</f>
        <v>0</v>
      </c>
      <c r="C95" s="1186">
        <f>'2. LRAMVA Threshold'!O43</f>
        <v>0</v>
      </c>
      <c r="D95" s="46"/>
      <c r="E95" s="46"/>
      <c r="F95" s="46"/>
      <c r="G95" s="46"/>
      <c r="H95" s="46"/>
      <c r="I95" s="46"/>
      <c r="J95" s="46"/>
      <c r="K95" s="46"/>
      <c r="L95" s="46"/>
      <c r="M95" s="46"/>
      <c r="N95" s="46"/>
      <c r="O95" s="69"/>
    </row>
    <row r="96" spans="1:15" s="18" customFormat="1" hidden="1" outlineLevel="1">
      <c r="A96" s="4"/>
      <c r="B96" s="531" t="s">
        <v>511</v>
      </c>
      <c r="C96" s="1184"/>
      <c r="D96" s="46"/>
      <c r="E96" s="46"/>
      <c r="F96" s="46"/>
      <c r="G96" s="46"/>
      <c r="H96" s="46"/>
      <c r="I96" s="46"/>
      <c r="J96" s="46"/>
      <c r="K96" s="46"/>
      <c r="L96" s="46"/>
      <c r="M96" s="46"/>
      <c r="N96" s="46"/>
      <c r="O96" s="69"/>
    </row>
    <row r="97" spans="1:15" s="18" customFormat="1" hidden="1" outlineLevel="1">
      <c r="A97" s="4"/>
      <c r="B97" s="531" t="s">
        <v>512</v>
      </c>
      <c r="C97" s="1184"/>
      <c r="D97" s="46"/>
      <c r="E97" s="46"/>
      <c r="F97" s="46"/>
      <c r="G97" s="46"/>
      <c r="H97" s="46"/>
      <c r="I97" s="46"/>
      <c r="J97" s="46"/>
      <c r="K97" s="46"/>
      <c r="L97" s="46"/>
      <c r="M97" s="46"/>
      <c r="N97" s="46"/>
      <c r="O97" s="69"/>
    </row>
    <row r="98" spans="1:15" s="18" customFormat="1" hidden="1" outlineLevel="1">
      <c r="A98" s="4"/>
      <c r="B98" s="531" t="s">
        <v>490</v>
      </c>
      <c r="C98" s="1184"/>
      <c r="D98" s="46"/>
      <c r="E98" s="46"/>
      <c r="F98" s="46"/>
      <c r="G98" s="46"/>
      <c r="H98" s="46"/>
      <c r="I98" s="46"/>
      <c r="J98" s="46"/>
      <c r="K98" s="46"/>
      <c r="L98" s="46"/>
      <c r="M98" s="46"/>
      <c r="N98" s="46"/>
      <c r="O98" s="69"/>
    </row>
    <row r="99" spans="1:15" s="18" customFormat="1" collapsed="1">
      <c r="A99" s="4"/>
      <c r="B99" s="531" t="s">
        <v>513</v>
      </c>
      <c r="C99" s="118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7" t="s">
        <v>514</v>
      </c>
      <c r="C100" s="483"/>
      <c r="D100" s="71"/>
      <c r="E100" s="479">
        <f t="shared" ref="E100:N100" si="25">ROUND(SUM(D99*E16+E99*E17)/12,4)</f>
        <v>0</v>
      </c>
      <c r="F100" s="479">
        <f t="shared" si="25"/>
        <v>0</v>
      </c>
      <c r="G100" s="479">
        <f t="shared" si="25"/>
        <v>0</v>
      </c>
      <c r="H100" s="479">
        <f t="shared" si="25"/>
        <v>0</v>
      </c>
      <c r="I100" s="479">
        <f t="shared" si="25"/>
        <v>0</v>
      </c>
      <c r="J100" s="479">
        <f t="shared" si="25"/>
        <v>0</v>
      </c>
      <c r="K100" s="479">
        <f t="shared" si="25"/>
        <v>0</v>
      </c>
      <c r="L100" s="479">
        <f t="shared" si="25"/>
        <v>0</v>
      </c>
      <c r="M100" s="479">
        <f t="shared" si="25"/>
        <v>0</v>
      </c>
      <c r="N100" s="479">
        <f t="shared" si="25"/>
        <v>0</v>
      </c>
      <c r="O100" s="484"/>
    </row>
    <row r="101" spans="1:15" s="14" customFormat="1">
      <c r="A101" s="72"/>
      <c r="B101" s="476"/>
      <c r="C101" s="483"/>
      <c r="D101" s="71"/>
      <c r="E101" s="479"/>
      <c r="F101" s="479"/>
      <c r="G101" s="479"/>
      <c r="H101" s="479"/>
      <c r="I101" s="479"/>
      <c r="J101" s="479"/>
      <c r="K101" s="479"/>
      <c r="L101" s="479"/>
      <c r="M101" s="479"/>
      <c r="N101" s="479"/>
      <c r="O101" s="484"/>
    </row>
    <row r="102" spans="1:15" s="64" customFormat="1">
      <c r="A102" s="62"/>
      <c r="B102" s="599">
        <f>'1.  LRAMVA Summary'!B41</f>
        <v>0</v>
      </c>
      <c r="C102" s="1186">
        <f>'2. LRAMVA Threshold'!P43</f>
        <v>0</v>
      </c>
      <c r="D102" s="46"/>
      <c r="E102" s="46"/>
      <c r="F102" s="46"/>
      <c r="G102" s="46"/>
      <c r="H102" s="46"/>
      <c r="I102" s="46"/>
      <c r="J102" s="46"/>
      <c r="K102" s="46"/>
      <c r="L102" s="46"/>
      <c r="M102" s="46"/>
      <c r="N102" s="46"/>
      <c r="O102" s="69"/>
    </row>
    <row r="103" spans="1:15" s="18" customFormat="1" hidden="1" outlineLevel="1">
      <c r="A103" s="4"/>
      <c r="B103" s="531" t="s">
        <v>511</v>
      </c>
      <c r="C103" s="1184"/>
      <c r="D103" s="46"/>
      <c r="E103" s="46"/>
      <c r="F103" s="46"/>
      <c r="G103" s="46"/>
      <c r="H103" s="46"/>
      <c r="I103" s="46"/>
      <c r="J103" s="46"/>
      <c r="K103" s="46"/>
      <c r="L103" s="46"/>
      <c r="M103" s="46"/>
      <c r="N103" s="46"/>
      <c r="O103" s="69"/>
    </row>
    <row r="104" spans="1:15" s="18" customFormat="1" hidden="1" outlineLevel="1">
      <c r="A104" s="4"/>
      <c r="B104" s="531" t="s">
        <v>512</v>
      </c>
      <c r="C104" s="1184"/>
      <c r="D104" s="46"/>
      <c r="E104" s="46"/>
      <c r="F104" s="46"/>
      <c r="G104" s="46"/>
      <c r="H104" s="46"/>
      <c r="I104" s="46"/>
      <c r="J104" s="46"/>
      <c r="K104" s="46"/>
      <c r="L104" s="46"/>
      <c r="M104" s="46"/>
      <c r="N104" s="46"/>
      <c r="O104" s="69"/>
    </row>
    <row r="105" spans="1:15" s="18" customFormat="1" hidden="1" outlineLevel="1">
      <c r="A105" s="4"/>
      <c r="B105" s="531" t="s">
        <v>490</v>
      </c>
      <c r="C105" s="1184"/>
      <c r="D105" s="46"/>
      <c r="E105" s="46"/>
      <c r="F105" s="46"/>
      <c r="G105" s="46"/>
      <c r="H105" s="46"/>
      <c r="I105" s="46"/>
      <c r="J105" s="46"/>
      <c r="K105" s="46"/>
      <c r="L105" s="46"/>
      <c r="M105" s="46"/>
      <c r="N105" s="46"/>
      <c r="O105" s="69"/>
    </row>
    <row r="106" spans="1:15" s="18" customFormat="1" collapsed="1">
      <c r="A106" s="4"/>
      <c r="B106" s="531" t="s">
        <v>513</v>
      </c>
      <c r="C106" s="118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7" t="s">
        <v>514</v>
      </c>
      <c r="C107" s="483"/>
      <c r="D107" s="71"/>
      <c r="E107" s="479">
        <f t="shared" ref="E107:N107" si="27">ROUND(SUM(D106*E16+E106*E17)/12,4)</f>
        <v>0</v>
      </c>
      <c r="F107" s="479">
        <f t="shared" si="27"/>
        <v>0</v>
      </c>
      <c r="G107" s="479">
        <f t="shared" si="27"/>
        <v>0</v>
      </c>
      <c r="H107" s="479">
        <f t="shared" si="27"/>
        <v>0</v>
      </c>
      <c r="I107" s="479">
        <f t="shared" si="27"/>
        <v>0</v>
      </c>
      <c r="J107" s="479">
        <f t="shared" si="27"/>
        <v>0</v>
      </c>
      <c r="K107" s="479">
        <f t="shared" si="27"/>
        <v>0</v>
      </c>
      <c r="L107" s="479">
        <f t="shared" si="27"/>
        <v>0</v>
      </c>
      <c r="M107" s="479">
        <f t="shared" si="27"/>
        <v>0</v>
      </c>
      <c r="N107" s="479">
        <f t="shared" si="27"/>
        <v>0</v>
      </c>
      <c r="O107" s="484"/>
    </row>
    <row r="108" spans="1:15" s="14" customFormat="1">
      <c r="A108" s="72"/>
      <c r="B108" s="476"/>
      <c r="C108" s="483"/>
      <c r="D108" s="71"/>
      <c r="E108" s="479"/>
      <c r="F108" s="479"/>
      <c r="G108" s="479"/>
      <c r="H108" s="479"/>
      <c r="I108" s="479"/>
      <c r="J108" s="479"/>
      <c r="K108" s="479"/>
      <c r="L108" s="479"/>
      <c r="M108" s="479"/>
      <c r="N108" s="479"/>
      <c r="O108" s="484"/>
    </row>
    <row r="109" spans="1:15" s="64" customFormat="1">
      <c r="A109" s="62"/>
      <c r="B109" s="599">
        <f>'1.  LRAMVA Summary'!B42</f>
        <v>0</v>
      </c>
      <c r="C109" s="1186">
        <f>'2. LRAMVA Threshold'!Q43</f>
        <v>0</v>
      </c>
      <c r="D109" s="46"/>
      <c r="E109" s="46"/>
      <c r="F109" s="46"/>
      <c r="G109" s="46"/>
      <c r="H109" s="46"/>
      <c r="I109" s="46"/>
      <c r="J109" s="46"/>
      <c r="K109" s="46"/>
      <c r="L109" s="46"/>
      <c r="M109" s="46"/>
      <c r="N109" s="46"/>
      <c r="O109" s="69"/>
    </row>
    <row r="110" spans="1:15" s="18" customFormat="1" hidden="1" outlineLevel="1">
      <c r="A110" s="4"/>
      <c r="B110" s="531" t="s">
        <v>511</v>
      </c>
      <c r="C110" s="1184"/>
      <c r="D110" s="46"/>
      <c r="E110" s="46"/>
      <c r="F110" s="46"/>
      <c r="G110" s="46"/>
      <c r="H110" s="46"/>
      <c r="I110" s="46"/>
      <c r="J110" s="46"/>
      <c r="K110" s="46"/>
      <c r="L110" s="46"/>
      <c r="M110" s="46"/>
      <c r="N110" s="46"/>
      <c r="O110" s="69"/>
    </row>
    <row r="111" spans="1:15" s="18" customFormat="1" hidden="1" outlineLevel="1">
      <c r="A111" s="4"/>
      <c r="B111" s="531" t="s">
        <v>512</v>
      </c>
      <c r="C111" s="1184"/>
      <c r="D111" s="46"/>
      <c r="E111" s="46"/>
      <c r="F111" s="46"/>
      <c r="G111" s="46"/>
      <c r="H111" s="46"/>
      <c r="I111" s="46"/>
      <c r="J111" s="46"/>
      <c r="K111" s="46"/>
      <c r="L111" s="46"/>
      <c r="M111" s="46"/>
      <c r="N111" s="46"/>
      <c r="O111" s="69"/>
    </row>
    <row r="112" spans="1:15" s="18" customFormat="1" hidden="1" outlineLevel="1">
      <c r="A112" s="4"/>
      <c r="B112" s="531" t="s">
        <v>490</v>
      </c>
      <c r="C112" s="1184"/>
      <c r="D112" s="46"/>
      <c r="E112" s="46"/>
      <c r="F112" s="46"/>
      <c r="G112" s="46"/>
      <c r="H112" s="46"/>
      <c r="I112" s="46"/>
      <c r="J112" s="46"/>
      <c r="K112" s="46"/>
      <c r="L112" s="46"/>
      <c r="M112" s="46"/>
      <c r="N112" s="46"/>
      <c r="O112" s="69"/>
    </row>
    <row r="113" spans="1:17" s="18" customFormat="1" collapsed="1">
      <c r="A113" s="4"/>
      <c r="B113" s="531" t="s">
        <v>513</v>
      </c>
      <c r="C113" s="118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7" t="s">
        <v>514</v>
      </c>
      <c r="C114" s="483"/>
      <c r="D114" s="71"/>
      <c r="E114" s="479">
        <f t="shared" ref="E114:N114" si="29">ROUND(SUM(D113*E16+E113*E17)/12,4)</f>
        <v>0</v>
      </c>
      <c r="F114" s="479">
        <f t="shared" si="29"/>
        <v>0</v>
      </c>
      <c r="G114" s="479">
        <f t="shared" si="29"/>
        <v>0</v>
      </c>
      <c r="H114" s="479">
        <f t="shared" si="29"/>
        <v>0</v>
      </c>
      <c r="I114" s="479">
        <f t="shared" si="29"/>
        <v>0</v>
      </c>
      <c r="J114" s="479">
        <f t="shared" si="29"/>
        <v>0</v>
      </c>
      <c r="K114" s="479">
        <f t="shared" si="29"/>
        <v>0</v>
      </c>
      <c r="L114" s="479">
        <f t="shared" si="29"/>
        <v>0</v>
      </c>
      <c r="M114" s="479">
        <f t="shared" si="29"/>
        <v>0</v>
      </c>
      <c r="N114" s="479">
        <f t="shared" si="29"/>
        <v>0</v>
      </c>
      <c r="O114" s="484"/>
    </row>
    <row r="115" spans="1:17" s="70" customFormat="1" ht="14.25">
      <c r="A115" s="72"/>
      <c r="B115" s="74"/>
      <c r="C115" s="81"/>
      <c r="D115" s="75"/>
      <c r="E115" s="75"/>
      <c r="F115" s="75"/>
      <c r="G115" s="75"/>
      <c r="H115" s="75"/>
      <c r="I115" s="75"/>
      <c r="J115" s="75"/>
      <c r="K115" s="490"/>
      <c r="L115" s="491"/>
      <c r="M115" s="491"/>
      <c r="N115" s="491"/>
      <c r="O115" s="492"/>
    </row>
    <row r="116" spans="1:17" s="3" customFormat="1" ht="21" customHeight="1">
      <c r="A116" s="4"/>
      <c r="B116" s="493" t="s">
        <v>608</v>
      </c>
      <c r="C116" s="98"/>
      <c r="D116" s="494"/>
      <c r="E116" s="494"/>
      <c r="F116" s="494"/>
      <c r="G116" s="494"/>
      <c r="H116" s="494"/>
      <c r="I116" s="494"/>
      <c r="J116" s="494"/>
      <c r="K116" s="494"/>
      <c r="L116" s="494"/>
      <c r="M116" s="494"/>
      <c r="N116" s="494"/>
      <c r="O116" s="494"/>
    </row>
    <row r="119" spans="1:17" ht="15.75">
      <c r="B119" s="118" t="s">
        <v>484</v>
      </c>
      <c r="J119" s="18"/>
    </row>
    <row r="120" spans="1:17" s="14" customFormat="1" ht="75.75" customHeight="1">
      <c r="A120" s="72"/>
      <c r="B120" s="1191" t="s">
        <v>669</v>
      </c>
      <c r="C120" s="1191"/>
      <c r="D120" s="1191"/>
      <c r="E120" s="1191"/>
      <c r="F120" s="1191"/>
      <c r="G120" s="1191"/>
      <c r="H120" s="1191"/>
      <c r="I120" s="1191"/>
      <c r="J120" s="1191"/>
      <c r="K120" s="1191"/>
      <c r="L120" s="1191"/>
      <c r="M120" s="1191"/>
      <c r="N120" s="1191"/>
      <c r="O120" s="1191"/>
      <c r="P120" s="119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 50 kW</v>
      </c>
      <c r="F122" s="244" t="str">
        <f>'1.  LRAMVA Summary'!G52</f>
        <v>Streetlighting kW</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v>
      </c>
      <c r="G123" s="581">
        <f>'1.  LRAMVA Summary'!H53</f>
        <v>0</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5">
        <v>2011</v>
      </c>
      <c r="C124" s="676">
        <f t="shared" ref="C124:C129" si="30">HLOOKUP(B124,$E$15:$O$114,9,FALSE)</f>
        <v>1.6799999999999999E-2</v>
      </c>
      <c r="D124" s="677">
        <f>HLOOKUP(B124,$E$15:$O$114,16,FALSE)</f>
        <v>1.21E-2</v>
      </c>
      <c r="E124" s="678">
        <f>HLOOKUP(B124,$E$15:$O$114,23,FALSE)</f>
        <v>3.9592000000000001</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6">
        <v>2012</v>
      </c>
      <c r="C125" s="679">
        <f t="shared" si="30"/>
        <v>1.6799999999999999E-2</v>
      </c>
      <c r="D125" s="680">
        <f>HLOOKUP(B125,$E$15:$O$114,16,FALSE)</f>
        <v>1.21E-2</v>
      </c>
      <c r="E125" s="681">
        <f>HLOOKUP(B125,$E$15:$O$114,23,FALSE)</f>
        <v>3.9651000000000001</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1">HLOOKUP(B125,$E$15:$O$114,100,FALSE)</f>
        <v>0</v>
      </c>
    </row>
    <row r="126" spans="1:17">
      <c r="B126" s="496">
        <v>2013</v>
      </c>
      <c r="C126" s="679">
        <f t="shared" si="30"/>
        <v>1.6899999999999998E-2</v>
      </c>
      <c r="D126" s="680">
        <f t="shared" ref="D126:D133" si="32">HLOOKUP(B126,$E$15:$O$114,16,FALSE)</f>
        <v>1.21E-2</v>
      </c>
      <c r="E126" s="681">
        <f t="shared" ref="E126:E133" si="33">HLOOKUP(B126,$E$15:$O$114,23,FALSE)</f>
        <v>3.9849999999999999</v>
      </c>
      <c r="F126" s="680">
        <f t="shared" ref="F126:F133" si="34">HLOOKUP(B126,$E$15:$O$114,30,FALSE)</f>
        <v>0</v>
      </c>
      <c r="G126" s="681">
        <f t="shared" ref="G126:G132" si="35">HLOOKUP(B126,$E$15:$O$114,37,FALSE)</f>
        <v>0</v>
      </c>
      <c r="H126" s="680">
        <f t="shared" ref="H126:H133" si="36">HLOOKUP(B126,$E$15:$O$114,44,FALSE)</f>
        <v>0</v>
      </c>
      <c r="I126" s="681">
        <f t="shared" ref="I126:I133" si="37">HLOOKUP(B126,$E$15:$O$114,51,FALSE)</f>
        <v>0</v>
      </c>
      <c r="J126" s="681">
        <f t="shared" ref="J126:J133" si="38">HLOOKUP(B126,$E$15:$O$114,58,FALSE)</f>
        <v>0</v>
      </c>
      <c r="K126" s="681">
        <f t="shared" ref="K126:K133" si="39">HLOOKUP(B126,$E$15:$O$114,65,FALSE)</f>
        <v>0</v>
      </c>
      <c r="L126" s="681">
        <f>HLOOKUP(B126,$E$15:$O$114,72,FALSE)</f>
        <v>0</v>
      </c>
      <c r="M126" s="681">
        <f t="shared" ref="M126:M133" si="40">HLOOKUP(B126,$E$15:$O$114,79,FALSE)</f>
        <v>0</v>
      </c>
      <c r="N126" s="681">
        <f t="shared" ref="N126:N133" si="41">HLOOKUP(B126,$E$15:$O$114,86,FALSE)</f>
        <v>0</v>
      </c>
      <c r="O126" s="681">
        <f t="shared" ref="O126:O133" si="42">HLOOKUP(B126,$E$15:$O$114,93,FALSE)</f>
        <v>0</v>
      </c>
      <c r="P126" s="681">
        <f t="shared" si="31"/>
        <v>0</v>
      </c>
    </row>
    <row r="127" spans="1:17">
      <c r="B127" s="496">
        <v>2014</v>
      </c>
      <c r="C127" s="679">
        <f t="shared" si="30"/>
        <v>1.6199999999999999E-2</v>
      </c>
      <c r="D127" s="680">
        <f>HLOOKUP(B127,$E$15:$O$114,16,FALSE)</f>
        <v>1.24E-2</v>
      </c>
      <c r="E127" s="681">
        <f>HLOOKUP(B127,$E$15:$O$114,23,FALSE)</f>
        <v>4.42</v>
      </c>
      <c r="F127" s="680">
        <f>HLOOKUP(B127,$E$15:$O$114,30,FALSE)</f>
        <v>0</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6">
        <v>2015</v>
      </c>
      <c r="C128" s="679">
        <f t="shared" si="30"/>
        <v>1.6400000000000001E-2</v>
      </c>
      <c r="D128" s="680">
        <f t="shared" si="32"/>
        <v>1.26E-2</v>
      </c>
      <c r="E128" s="681">
        <f t="shared" si="33"/>
        <v>4.4840999999999998</v>
      </c>
      <c r="F128" s="680">
        <f t="shared" si="34"/>
        <v>0</v>
      </c>
      <c r="G128" s="681">
        <f t="shared" si="35"/>
        <v>0</v>
      </c>
      <c r="H128" s="680">
        <f t="shared" si="36"/>
        <v>0</v>
      </c>
      <c r="I128" s="681">
        <f t="shared" si="37"/>
        <v>0</v>
      </c>
      <c r="J128" s="681">
        <f t="shared" si="38"/>
        <v>0</v>
      </c>
      <c r="K128" s="681">
        <f t="shared" si="39"/>
        <v>0</v>
      </c>
      <c r="L128" s="681">
        <f t="shared" ref="L128:L133" si="43">HLOOKUP(B128,$E$15:$O$114,72,FALSE)</f>
        <v>0</v>
      </c>
      <c r="M128" s="681">
        <f t="shared" si="40"/>
        <v>0</v>
      </c>
      <c r="N128" s="681">
        <f t="shared" si="41"/>
        <v>0</v>
      </c>
      <c r="O128" s="681">
        <f t="shared" si="42"/>
        <v>0</v>
      </c>
      <c r="P128" s="681">
        <f t="shared" si="31"/>
        <v>0</v>
      </c>
    </row>
    <row r="129" spans="2:16">
      <c r="B129" s="496">
        <v>2016</v>
      </c>
      <c r="C129" s="679">
        <f t="shared" si="30"/>
        <v>1.2500000000000001E-2</v>
      </c>
      <c r="D129" s="680">
        <f t="shared" si="32"/>
        <v>1.2800000000000001E-2</v>
      </c>
      <c r="E129" s="681">
        <f t="shared" si="33"/>
        <v>4.5715000000000003</v>
      </c>
      <c r="F129" s="680">
        <f t="shared" si="34"/>
        <v>0</v>
      </c>
      <c r="G129" s="681">
        <f t="shared" si="35"/>
        <v>0</v>
      </c>
      <c r="H129" s="680">
        <f t="shared" si="36"/>
        <v>0</v>
      </c>
      <c r="I129" s="681">
        <f t="shared" si="37"/>
        <v>0</v>
      </c>
      <c r="J129" s="681">
        <f t="shared" si="38"/>
        <v>0</v>
      </c>
      <c r="K129" s="681">
        <f t="shared" si="39"/>
        <v>0</v>
      </c>
      <c r="L129" s="681">
        <f t="shared" si="43"/>
        <v>0</v>
      </c>
      <c r="M129" s="681">
        <f t="shared" si="40"/>
        <v>0</v>
      </c>
      <c r="N129" s="681">
        <f t="shared" si="41"/>
        <v>0</v>
      </c>
      <c r="O129" s="681">
        <f t="shared" si="42"/>
        <v>0</v>
      </c>
      <c r="P129" s="681">
        <f t="shared" si="31"/>
        <v>0</v>
      </c>
    </row>
    <row r="130" spans="2:16">
      <c r="B130" s="496">
        <v>2017</v>
      </c>
      <c r="C130" s="679">
        <f>HLOOKUP(B130,$E$15:$O$114,9,FALSE)</f>
        <v>8.3999999999999995E-3</v>
      </c>
      <c r="D130" s="680">
        <f t="shared" si="32"/>
        <v>1.2999999999999999E-2</v>
      </c>
      <c r="E130" s="681">
        <f t="shared" si="33"/>
        <v>4.6515000000000004</v>
      </c>
      <c r="F130" s="680">
        <f t="shared" si="34"/>
        <v>4.8948999999999998</v>
      </c>
      <c r="G130" s="681">
        <f t="shared" si="35"/>
        <v>0</v>
      </c>
      <c r="H130" s="680">
        <f t="shared" si="36"/>
        <v>0</v>
      </c>
      <c r="I130" s="681">
        <f t="shared" si="37"/>
        <v>0</v>
      </c>
      <c r="J130" s="681">
        <f t="shared" si="38"/>
        <v>0</v>
      </c>
      <c r="K130" s="681">
        <f t="shared" si="39"/>
        <v>0</v>
      </c>
      <c r="L130" s="681">
        <f t="shared" si="43"/>
        <v>0</v>
      </c>
      <c r="M130" s="681">
        <f t="shared" si="40"/>
        <v>0</v>
      </c>
      <c r="N130" s="681">
        <f t="shared" si="41"/>
        <v>0</v>
      </c>
      <c r="O130" s="681">
        <f t="shared" si="42"/>
        <v>0</v>
      </c>
      <c r="P130" s="681">
        <f t="shared" si="31"/>
        <v>0</v>
      </c>
    </row>
    <row r="131" spans="2:16">
      <c r="B131" s="496">
        <v>2018</v>
      </c>
      <c r="C131" s="679">
        <f t="shared" ref="C131:C133" si="44">HLOOKUP(B131,$E$15:$O$114,9,FALSE)</f>
        <v>4.1999999999999997E-3</v>
      </c>
      <c r="D131" s="680">
        <f t="shared" si="32"/>
        <v>1.3100000000000001E-2</v>
      </c>
      <c r="E131" s="681">
        <f t="shared" si="33"/>
        <v>4.7003000000000004</v>
      </c>
      <c r="F131" s="680">
        <f t="shared" si="34"/>
        <v>4.9462999999999999</v>
      </c>
      <c r="G131" s="681">
        <f t="shared" si="35"/>
        <v>0</v>
      </c>
      <c r="H131" s="680">
        <f t="shared" si="36"/>
        <v>0</v>
      </c>
      <c r="I131" s="681">
        <f t="shared" si="37"/>
        <v>0</v>
      </c>
      <c r="J131" s="681">
        <f t="shared" si="38"/>
        <v>0</v>
      </c>
      <c r="K131" s="681">
        <f t="shared" si="39"/>
        <v>0</v>
      </c>
      <c r="L131" s="681">
        <f t="shared" si="43"/>
        <v>0</v>
      </c>
      <c r="M131" s="681">
        <f t="shared" si="40"/>
        <v>0</v>
      </c>
      <c r="N131" s="681">
        <f t="shared" si="41"/>
        <v>0</v>
      </c>
      <c r="O131" s="681">
        <f t="shared" si="42"/>
        <v>0</v>
      </c>
      <c r="P131" s="681">
        <f t="shared" si="31"/>
        <v>0</v>
      </c>
    </row>
    <row r="132" spans="2:16">
      <c r="B132" s="496">
        <v>2019</v>
      </c>
      <c r="C132" s="679">
        <f t="shared" si="44"/>
        <v>0</v>
      </c>
      <c r="D132" s="680">
        <f t="shared" si="32"/>
        <v>0</v>
      </c>
      <c r="E132" s="681">
        <f t="shared" si="33"/>
        <v>0</v>
      </c>
      <c r="F132" s="680">
        <f t="shared" si="34"/>
        <v>0</v>
      </c>
      <c r="G132" s="681">
        <f t="shared" si="35"/>
        <v>0</v>
      </c>
      <c r="H132" s="680">
        <f t="shared" si="36"/>
        <v>0</v>
      </c>
      <c r="I132" s="681">
        <f t="shared" si="37"/>
        <v>0</v>
      </c>
      <c r="J132" s="681">
        <f t="shared" si="38"/>
        <v>0</v>
      </c>
      <c r="K132" s="681">
        <f t="shared" si="39"/>
        <v>0</v>
      </c>
      <c r="L132" s="681">
        <f t="shared" si="43"/>
        <v>0</v>
      </c>
      <c r="M132" s="681">
        <f t="shared" si="40"/>
        <v>0</v>
      </c>
      <c r="N132" s="681">
        <f t="shared" si="41"/>
        <v>0</v>
      </c>
      <c r="O132" s="681">
        <f t="shared" si="42"/>
        <v>0</v>
      </c>
      <c r="P132" s="681">
        <f t="shared" si="31"/>
        <v>0</v>
      </c>
    </row>
    <row r="133" spans="2:16" hidden="1">
      <c r="B133" s="497">
        <v>2020</v>
      </c>
      <c r="C133" s="682">
        <f t="shared" si="44"/>
        <v>0</v>
      </c>
      <c r="D133" s="683">
        <f t="shared" si="32"/>
        <v>0</v>
      </c>
      <c r="E133" s="684">
        <f t="shared" si="33"/>
        <v>0</v>
      </c>
      <c r="F133" s="683">
        <f t="shared" si="34"/>
        <v>0</v>
      </c>
      <c r="G133" s="684">
        <f>HLOOKUP(B133,$E$15:$O$114,37,FALSE)</f>
        <v>0</v>
      </c>
      <c r="H133" s="683">
        <f t="shared" si="36"/>
        <v>0</v>
      </c>
      <c r="I133" s="684">
        <f t="shared" si="37"/>
        <v>0</v>
      </c>
      <c r="J133" s="684">
        <f t="shared" si="38"/>
        <v>0</v>
      </c>
      <c r="K133" s="684">
        <f t="shared" si="39"/>
        <v>0</v>
      </c>
      <c r="L133" s="684">
        <f t="shared" si="43"/>
        <v>0</v>
      </c>
      <c r="M133" s="684">
        <f t="shared" si="40"/>
        <v>0</v>
      </c>
      <c r="N133" s="684">
        <f t="shared" si="41"/>
        <v>0</v>
      </c>
      <c r="O133" s="684">
        <f t="shared" si="42"/>
        <v>0</v>
      </c>
      <c r="P133" s="684">
        <f t="shared" si="31"/>
        <v>0</v>
      </c>
    </row>
    <row r="134" spans="2:16" ht="18.75" customHeight="1">
      <c r="B134" s="493" t="s">
        <v>625</v>
      </c>
      <c r="C134" s="593"/>
      <c r="D134" s="594"/>
      <c r="E134" s="595"/>
      <c r="F134" s="594"/>
      <c r="G134" s="594"/>
      <c r="H134" s="594"/>
      <c r="I134" s="594"/>
      <c r="J134" s="594"/>
      <c r="K134" s="594"/>
      <c r="L134" s="594"/>
      <c r="M134" s="594"/>
      <c r="N134" s="594"/>
      <c r="O134" s="594"/>
      <c r="P134" s="594"/>
    </row>
    <row r="136" spans="2:16">
      <c r="B136" s="587"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23" right="0.24" top="0.39" bottom="0.26" header="0.3" footer="0.17"/>
  <pageSetup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4:S68"/>
  <sheetViews>
    <sheetView zoomScale="80" zoomScaleNormal="80" workbookViewId="0">
      <selection sqref="A1:XFD1048576"/>
    </sheetView>
  </sheetViews>
  <sheetFormatPr defaultColWidth="9" defaultRowHeight="15"/>
  <cols>
    <col min="1" max="1" width="3.42578125" style="12" customWidth="1"/>
    <col min="2" max="4" width="9" style="12" customWidth="1"/>
    <col min="5" max="5" width="38.85546875" style="12" customWidth="1"/>
    <col min="6" max="8" width="9" style="12" customWidth="1"/>
    <col min="9" max="17" width="9" style="12"/>
    <col min="18" max="18" width="4.5703125" style="12" customWidth="1"/>
    <col min="19" max="16384" width="9" style="12"/>
  </cols>
  <sheetData>
    <row r="14" spans="2:12" ht="15.75">
      <c r="B14" s="583" t="s">
        <v>505</v>
      </c>
    </row>
    <row r="15" spans="2:12" ht="15.75">
      <c r="B15" s="583"/>
    </row>
    <row r="16" spans="2:12" s="663" customFormat="1" ht="28.5" customHeight="1">
      <c r="B16" s="1195" t="s">
        <v>628</v>
      </c>
      <c r="C16" s="1195"/>
      <c r="D16" s="1195"/>
      <c r="E16" s="1195"/>
      <c r="F16" s="1195"/>
      <c r="G16" s="1195"/>
      <c r="H16" s="1195"/>
      <c r="I16" s="1195"/>
      <c r="J16" s="1195"/>
      <c r="K16" s="1195"/>
      <c r="L16" s="1195"/>
    </row>
    <row r="21" spans="2:19">
      <c r="B21" s="791"/>
      <c r="C21" s="791"/>
      <c r="D21" s="791"/>
      <c r="E21" s="791"/>
      <c r="F21" s="792"/>
      <c r="G21" s="793">
        <v>2015</v>
      </c>
      <c r="H21" s="794"/>
      <c r="I21" s="1192">
        <v>2016</v>
      </c>
      <c r="J21" s="1193"/>
      <c r="K21" s="1194"/>
      <c r="L21" s="1192">
        <v>2017</v>
      </c>
      <c r="M21" s="1193"/>
      <c r="N21" s="1194"/>
      <c r="O21" s="1192">
        <v>2018</v>
      </c>
      <c r="P21" s="1193"/>
      <c r="Q21" s="1194"/>
    </row>
    <row r="22" spans="2:19" ht="38.25">
      <c r="B22" s="795" t="s">
        <v>811</v>
      </c>
      <c r="C22" s="796"/>
      <c r="D22" s="796"/>
      <c r="E22" s="796"/>
      <c r="F22" s="797" t="s">
        <v>29</v>
      </c>
      <c r="G22" s="798" t="s">
        <v>812</v>
      </c>
      <c r="H22" s="799" t="s">
        <v>813</v>
      </c>
      <c r="I22" s="797" t="s">
        <v>29</v>
      </c>
      <c r="J22" s="798" t="s">
        <v>812</v>
      </c>
      <c r="K22" s="799" t="s">
        <v>813</v>
      </c>
      <c r="L22" s="797" t="s">
        <v>29</v>
      </c>
      <c r="M22" s="798" t="s">
        <v>812</v>
      </c>
      <c r="N22" s="799" t="s">
        <v>813</v>
      </c>
      <c r="O22" s="797" t="s">
        <v>29</v>
      </c>
      <c r="P22" s="798" t="s">
        <v>812</v>
      </c>
      <c r="Q22" s="799" t="s">
        <v>813</v>
      </c>
    </row>
    <row r="23" spans="2:19" ht="18.75">
      <c r="B23" s="800" t="s">
        <v>814</v>
      </c>
      <c r="C23" s="801"/>
      <c r="D23" s="801"/>
      <c r="E23" s="801"/>
      <c r="F23" s="801"/>
      <c r="G23" s="801"/>
      <c r="H23" s="803"/>
      <c r="I23" s="802"/>
      <c r="J23" s="801"/>
      <c r="K23" s="803"/>
      <c r="L23" s="802"/>
      <c r="M23" s="801"/>
      <c r="N23" s="803"/>
      <c r="O23" s="802"/>
      <c r="P23" s="801"/>
      <c r="Q23" s="803"/>
    </row>
    <row r="24" spans="2:19" ht="15.75">
      <c r="B24" s="807" t="s">
        <v>504</v>
      </c>
      <c r="F24" s="944"/>
      <c r="G24" s="944"/>
      <c r="H24" s="945"/>
      <c r="I24" s="946"/>
      <c r="J24" s="944"/>
      <c r="K24" s="945"/>
      <c r="L24" s="946"/>
      <c r="M24" s="944"/>
      <c r="N24" s="945"/>
      <c r="O24" s="946"/>
      <c r="P24" s="944"/>
      <c r="Q24" s="945"/>
    </row>
    <row r="25" spans="2:19">
      <c r="B25" s="804" t="s">
        <v>497</v>
      </c>
      <c r="F25" s="944"/>
      <c r="G25" s="944"/>
      <c r="H25" s="945"/>
      <c r="I25" s="946"/>
      <c r="J25" s="944"/>
      <c r="K25" s="945"/>
      <c r="L25" s="946"/>
      <c r="M25" s="944"/>
      <c r="N25" s="945"/>
      <c r="O25" s="946"/>
      <c r="P25" s="944"/>
      <c r="Q25" s="945"/>
    </row>
    <row r="26" spans="2:19">
      <c r="B26" s="12" t="s">
        <v>95</v>
      </c>
      <c r="F26" s="944">
        <v>1</v>
      </c>
      <c r="G26" s="944"/>
      <c r="H26" s="945"/>
      <c r="I26" s="946"/>
      <c r="J26" s="944"/>
      <c r="K26" s="945"/>
      <c r="L26" s="946"/>
      <c r="M26" s="944"/>
      <c r="N26" s="945"/>
      <c r="O26" s="946"/>
      <c r="P26" s="944"/>
      <c r="Q26" s="945"/>
    </row>
    <row r="27" spans="2:19">
      <c r="B27" s="12" t="s">
        <v>96</v>
      </c>
      <c r="F27" s="944">
        <v>1</v>
      </c>
      <c r="G27" s="944"/>
      <c r="H27" s="945"/>
      <c r="I27" s="946"/>
      <c r="J27" s="944"/>
      <c r="K27" s="945"/>
      <c r="L27" s="946"/>
      <c r="M27" s="944"/>
      <c r="N27" s="945"/>
      <c r="O27" s="946"/>
      <c r="P27" s="944"/>
      <c r="Q27" s="945"/>
    </row>
    <row r="28" spans="2:19">
      <c r="B28" s="12" t="s">
        <v>97</v>
      </c>
      <c r="F28" s="944">
        <v>1</v>
      </c>
      <c r="G28" s="944"/>
      <c r="H28" s="945"/>
      <c r="I28" s="946"/>
      <c r="J28" s="944"/>
      <c r="K28" s="945"/>
      <c r="L28" s="946"/>
      <c r="M28" s="944"/>
      <c r="N28" s="945"/>
      <c r="O28" s="946"/>
      <c r="P28" s="944"/>
      <c r="Q28" s="945"/>
    </row>
    <row r="29" spans="2:19">
      <c r="B29" s="12" t="s">
        <v>815</v>
      </c>
      <c r="F29" s="944">
        <v>0.98</v>
      </c>
      <c r="G29" s="944">
        <v>0.02</v>
      </c>
      <c r="H29" s="945"/>
      <c r="I29" s="946">
        <v>0.98</v>
      </c>
      <c r="J29" s="944">
        <v>0.02</v>
      </c>
      <c r="K29" s="945"/>
      <c r="L29" s="946"/>
      <c r="M29" s="944"/>
      <c r="N29" s="945"/>
      <c r="O29" s="946"/>
      <c r="P29" s="944"/>
      <c r="Q29" s="945"/>
    </row>
    <row r="30" spans="2:19">
      <c r="B30" s="12" t="s">
        <v>98</v>
      </c>
      <c r="F30" s="944">
        <v>1</v>
      </c>
      <c r="G30" s="944"/>
      <c r="H30" s="945"/>
      <c r="I30" s="946"/>
      <c r="J30" s="944"/>
      <c r="K30" s="945"/>
      <c r="L30" s="946"/>
      <c r="M30" s="944"/>
      <c r="N30" s="945"/>
      <c r="O30" s="946"/>
      <c r="P30" s="944"/>
      <c r="Q30" s="945"/>
      <c r="S30" s="893"/>
    </row>
    <row r="31" spans="2:19">
      <c r="B31" s="805" t="s">
        <v>498</v>
      </c>
      <c r="C31" s="806"/>
      <c r="D31" s="806"/>
      <c r="E31" s="806"/>
      <c r="F31" s="947"/>
      <c r="G31" s="947"/>
      <c r="H31" s="948"/>
      <c r="I31" s="949"/>
      <c r="J31" s="947"/>
      <c r="K31" s="948"/>
      <c r="L31" s="949"/>
      <c r="M31" s="947"/>
      <c r="N31" s="948"/>
      <c r="O31" s="949"/>
      <c r="P31" s="947"/>
      <c r="Q31" s="948"/>
    </row>
    <row r="32" spans="2:19">
      <c r="B32" s="12" t="s">
        <v>99</v>
      </c>
      <c r="F32" s="944"/>
      <c r="G32" s="944">
        <v>1</v>
      </c>
      <c r="H32" s="945"/>
      <c r="I32" s="946"/>
      <c r="J32" s="944"/>
      <c r="K32" s="945"/>
      <c r="L32" s="946"/>
      <c r="M32" s="944"/>
      <c r="N32" s="945"/>
      <c r="O32" s="946"/>
      <c r="P32" s="944"/>
      <c r="Q32" s="945"/>
    </row>
    <row r="33" spans="1:19">
      <c r="B33" s="12" t="s">
        <v>100</v>
      </c>
      <c r="F33" s="944"/>
      <c r="G33" s="944">
        <v>0.12</v>
      </c>
      <c r="H33" s="945">
        <v>0.88</v>
      </c>
      <c r="I33" s="946"/>
      <c r="J33" s="944">
        <v>0.12</v>
      </c>
      <c r="K33" s="945">
        <v>0.88</v>
      </c>
      <c r="L33" s="946"/>
      <c r="M33" s="944"/>
      <c r="N33" s="945"/>
      <c r="O33" s="946"/>
      <c r="P33" s="944"/>
      <c r="Q33" s="945"/>
    </row>
    <row r="34" spans="1:19">
      <c r="B34" s="12" t="s">
        <v>101</v>
      </c>
      <c r="F34" s="944"/>
      <c r="G34" s="944">
        <v>1</v>
      </c>
      <c r="H34" s="945"/>
      <c r="I34" s="946"/>
      <c r="J34" s="944"/>
      <c r="K34" s="945"/>
      <c r="L34" s="946"/>
      <c r="M34" s="944"/>
      <c r="N34" s="945"/>
      <c r="O34" s="946"/>
      <c r="P34" s="944"/>
      <c r="Q34" s="945"/>
    </row>
    <row r="35" spans="1:19">
      <c r="B35" s="12" t="s">
        <v>102</v>
      </c>
      <c r="F35" s="944"/>
      <c r="G35" s="944"/>
      <c r="H35" s="945">
        <v>1</v>
      </c>
      <c r="I35" s="946"/>
      <c r="J35" s="944"/>
      <c r="K35" s="945"/>
      <c r="L35" s="946"/>
      <c r="M35" s="944"/>
      <c r="N35" s="945"/>
      <c r="O35" s="946"/>
      <c r="P35" s="944"/>
      <c r="Q35" s="945"/>
    </row>
    <row r="36" spans="1:19">
      <c r="B36" s="805" t="s">
        <v>10</v>
      </c>
      <c r="C36" s="806"/>
      <c r="D36" s="806"/>
      <c r="E36" s="806"/>
      <c r="F36" s="947"/>
      <c r="G36" s="947"/>
      <c r="H36" s="948"/>
      <c r="I36" s="949"/>
      <c r="J36" s="947"/>
      <c r="K36" s="948"/>
      <c r="L36" s="949"/>
      <c r="M36" s="947"/>
      <c r="N36" s="948"/>
      <c r="O36" s="949"/>
      <c r="P36" s="947"/>
      <c r="Q36" s="948"/>
    </row>
    <row r="37" spans="1:19">
      <c r="B37" s="12" t="s">
        <v>104</v>
      </c>
      <c r="F37" s="944"/>
      <c r="G37" s="944"/>
      <c r="H37" s="945">
        <v>1</v>
      </c>
      <c r="I37" s="946"/>
      <c r="J37" s="944"/>
      <c r="K37" s="945"/>
      <c r="L37" s="946"/>
      <c r="M37" s="944"/>
      <c r="N37" s="945"/>
      <c r="O37" s="946"/>
      <c r="P37" s="944"/>
      <c r="Q37" s="945"/>
    </row>
    <row r="38" spans="1:19">
      <c r="B38" s="12" t="s">
        <v>105</v>
      </c>
      <c r="F38" s="944"/>
      <c r="G38" s="944"/>
      <c r="H38" s="945">
        <v>1</v>
      </c>
      <c r="I38" s="946"/>
      <c r="J38" s="944"/>
      <c r="K38" s="945"/>
      <c r="L38" s="946"/>
      <c r="M38" s="944"/>
      <c r="N38" s="945"/>
      <c r="O38" s="946"/>
      <c r="P38" s="944"/>
      <c r="Q38" s="945"/>
    </row>
    <row r="39" spans="1:19">
      <c r="B39" s="12" t="s">
        <v>106</v>
      </c>
      <c r="F39" s="944"/>
      <c r="G39" s="944"/>
      <c r="H39" s="945">
        <v>1</v>
      </c>
      <c r="I39" s="946"/>
      <c r="J39" s="944"/>
      <c r="K39" s="945"/>
      <c r="L39" s="946"/>
      <c r="M39" s="944"/>
      <c r="N39" s="945"/>
      <c r="O39" s="946"/>
      <c r="P39" s="944"/>
      <c r="Q39" s="945"/>
    </row>
    <row r="40" spans="1:19">
      <c r="B40" s="805" t="s">
        <v>107</v>
      </c>
      <c r="C40" s="806"/>
      <c r="D40" s="806"/>
      <c r="E40" s="806"/>
      <c r="F40" s="947"/>
      <c r="G40" s="947"/>
      <c r="H40" s="948"/>
      <c r="I40" s="949"/>
      <c r="J40" s="947"/>
      <c r="K40" s="948"/>
      <c r="L40" s="949"/>
      <c r="M40" s="947"/>
      <c r="N40" s="948"/>
      <c r="O40" s="949"/>
      <c r="P40" s="947"/>
      <c r="Q40" s="948"/>
    </row>
    <row r="41" spans="1:19">
      <c r="B41" s="808" t="s">
        <v>108</v>
      </c>
      <c r="C41" s="808"/>
      <c r="D41" s="808"/>
      <c r="E41" s="808"/>
      <c r="F41" s="950">
        <v>1</v>
      </c>
      <c r="G41" s="950"/>
      <c r="H41" s="951"/>
      <c r="I41" s="952"/>
      <c r="J41" s="950"/>
      <c r="K41" s="951"/>
      <c r="L41" s="952"/>
      <c r="M41" s="950"/>
      <c r="N41" s="951"/>
      <c r="O41" s="952"/>
      <c r="P41" s="950"/>
      <c r="Q41" s="951"/>
    </row>
    <row r="42" spans="1:19" ht="15.75">
      <c r="B42" s="807" t="s">
        <v>503</v>
      </c>
      <c r="F42" s="944"/>
      <c r="G42" s="944"/>
      <c r="H42" s="945"/>
      <c r="I42" s="946"/>
      <c r="J42" s="944"/>
      <c r="K42" s="945"/>
      <c r="L42" s="946"/>
      <c r="M42" s="944"/>
      <c r="N42" s="945"/>
      <c r="O42" s="946"/>
      <c r="P42" s="944"/>
      <c r="Q42" s="945"/>
    </row>
    <row r="43" spans="1:19">
      <c r="B43" s="804" t="s">
        <v>499</v>
      </c>
      <c r="F43" s="944"/>
      <c r="G43" s="944"/>
      <c r="H43" s="945"/>
      <c r="I43" s="946"/>
      <c r="J43" s="944"/>
      <c r="K43" s="945"/>
      <c r="L43" s="946"/>
      <c r="M43" s="944"/>
      <c r="N43" s="945"/>
      <c r="O43" s="946"/>
      <c r="P43" s="944"/>
      <c r="Q43" s="945"/>
      <c r="S43" s="893"/>
    </row>
    <row r="44" spans="1:19">
      <c r="B44" s="12" t="s">
        <v>816</v>
      </c>
      <c r="F44" s="944">
        <v>1</v>
      </c>
      <c r="G44" s="944"/>
      <c r="H44" s="945"/>
      <c r="I44" s="946">
        <v>1</v>
      </c>
      <c r="J44" s="944"/>
      <c r="K44" s="945"/>
      <c r="L44" s="953">
        <v>1</v>
      </c>
      <c r="M44" s="954"/>
      <c r="N44" s="955"/>
      <c r="O44" s="953"/>
      <c r="P44" s="954"/>
      <c r="Q44" s="955"/>
    </row>
    <row r="45" spans="1:19">
      <c r="A45" s="896"/>
      <c r="B45" s="12" t="s">
        <v>817</v>
      </c>
      <c r="F45" s="944"/>
      <c r="G45" s="944"/>
      <c r="H45" s="945"/>
      <c r="I45" s="946"/>
      <c r="J45" s="944"/>
      <c r="K45" s="945"/>
      <c r="L45" s="953">
        <v>1</v>
      </c>
      <c r="M45" s="954"/>
      <c r="N45" s="955"/>
      <c r="O45" s="953">
        <v>1</v>
      </c>
      <c r="P45" s="954"/>
      <c r="Q45" s="955"/>
      <c r="S45" s="18"/>
    </row>
    <row r="46" spans="1:19">
      <c r="B46" s="12" t="s">
        <v>114</v>
      </c>
      <c r="F46" s="944">
        <v>1</v>
      </c>
      <c r="G46" s="944"/>
      <c r="H46" s="945"/>
      <c r="I46" s="946">
        <v>1</v>
      </c>
      <c r="J46" s="944"/>
      <c r="K46" s="945"/>
      <c r="L46" s="953">
        <v>1</v>
      </c>
      <c r="M46" s="954"/>
      <c r="N46" s="955"/>
      <c r="O46" s="953">
        <v>1</v>
      </c>
      <c r="P46" s="944"/>
      <c r="Q46" s="945"/>
      <c r="S46" s="893"/>
    </row>
    <row r="47" spans="1:19">
      <c r="B47" s="12" t="s">
        <v>115</v>
      </c>
      <c r="F47" s="944"/>
      <c r="G47" s="944"/>
      <c r="H47" s="945"/>
      <c r="I47" s="946">
        <v>1</v>
      </c>
      <c r="J47" s="944"/>
      <c r="K47" s="945"/>
      <c r="L47" s="953">
        <v>1</v>
      </c>
      <c r="M47" s="954"/>
      <c r="N47" s="955"/>
      <c r="O47" s="953">
        <v>1</v>
      </c>
      <c r="P47" s="954"/>
      <c r="Q47" s="955"/>
    </row>
    <row r="48" spans="1:19">
      <c r="B48" s="12" t="s">
        <v>116</v>
      </c>
      <c r="F48" s="944">
        <v>1</v>
      </c>
      <c r="G48" s="944"/>
      <c r="H48" s="945"/>
      <c r="I48" s="946">
        <v>1</v>
      </c>
      <c r="J48" s="944"/>
      <c r="K48" s="945"/>
      <c r="L48" s="953">
        <v>1</v>
      </c>
      <c r="M48" s="954"/>
      <c r="N48" s="955"/>
      <c r="O48" s="956"/>
      <c r="P48" s="954"/>
      <c r="Q48" s="955"/>
    </row>
    <row r="49" spans="1:19">
      <c r="B49" s="805" t="s">
        <v>500</v>
      </c>
      <c r="C49" s="806"/>
      <c r="D49" s="806"/>
      <c r="E49" s="806"/>
      <c r="F49" s="947"/>
      <c r="G49" s="947"/>
      <c r="H49" s="948"/>
      <c r="I49" s="949"/>
      <c r="J49" s="947"/>
      <c r="K49" s="948"/>
      <c r="L49" s="949"/>
      <c r="M49" s="947"/>
      <c r="N49" s="948"/>
      <c r="O49" s="949"/>
      <c r="P49" s="947"/>
      <c r="Q49" s="948"/>
    </row>
    <row r="50" spans="1:19">
      <c r="B50" s="12" t="s">
        <v>117</v>
      </c>
      <c r="F50" s="944"/>
      <c r="G50" s="944"/>
      <c r="H50" s="945"/>
      <c r="I50" s="946"/>
      <c r="J50" s="944"/>
      <c r="K50" s="945">
        <v>1</v>
      </c>
      <c r="L50" s="946"/>
      <c r="M50" s="944"/>
      <c r="N50" s="945"/>
      <c r="O50" s="946"/>
      <c r="P50" s="944"/>
      <c r="Q50" s="945"/>
    </row>
    <row r="51" spans="1:19">
      <c r="A51" s="858"/>
      <c r="B51" s="12" t="s">
        <v>118</v>
      </c>
      <c r="F51" s="944"/>
      <c r="G51" s="944">
        <v>0.12</v>
      </c>
      <c r="H51" s="945">
        <v>0.88</v>
      </c>
      <c r="I51" s="946"/>
      <c r="J51" s="944">
        <v>0.12</v>
      </c>
      <c r="K51" s="945">
        <v>0.88</v>
      </c>
      <c r="L51" s="953"/>
      <c r="M51" s="954">
        <v>0.11</v>
      </c>
      <c r="N51" s="955">
        <v>0.77200000000000002</v>
      </c>
      <c r="O51" s="953"/>
      <c r="P51" s="954">
        <v>0.26300000000000001</v>
      </c>
      <c r="Q51" s="955">
        <v>0.66800000000000004</v>
      </c>
      <c r="S51" s="893"/>
    </row>
    <row r="52" spans="1:19">
      <c r="A52" s="858"/>
      <c r="B52" s="12" t="s">
        <v>119</v>
      </c>
      <c r="F52" s="944"/>
      <c r="G52" s="944"/>
      <c r="H52" s="945"/>
      <c r="I52" s="946"/>
      <c r="J52" s="944"/>
      <c r="K52" s="945"/>
      <c r="L52" s="946"/>
      <c r="M52" s="944">
        <v>1</v>
      </c>
      <c r="N52" s="945"/>
      <c r="O52" s="946"/>
      <c r="P52" s="944">
        <v>0.98899999999999999</v>
      </c>
      <c r="Q52" s="945">
        <v>1.0999999999999999E-2</v>
      </c>
      <c r="S52" s="893"/>
    </row>
    <row r="53" spans="1:19">
      <c r="A53" s="858"/>
      <c r="B53" s="12" t="s">
        <v>120</v>
      </c>
      <c r="F53" s="944"/>
      <c r="G53" s="944"/>
      <c r="H53" s="945"/>
      <c r="I53" s="946"/>
      <c r="J53" s="944"/>
      <c r="K53" s="945"/>
      <c r="L53" s="953"/>
      <c r="M53" s="954">
        <v>0.14399999999999999</v>
      </c>
      <c r="N53" s="955">
        <v>0.85299999999999998</v>
      </c>
      <c r="O53" s="957"/>
      <c r="P53" s="958">
        <v>1</v>
      </c>
      <c r="Q53" s="945"/>
      <c r="S53" s="893"/>
    </row>
    <row r="54" spans="1:19">
      <c r="A54" s="858"/>
      <c r="B54" s="12" t="s">
        <v>121</v>
      </c>
      <c r="F54" s="944"/>
      <c r="G54" s="944"/>
      <c r="H54" s="945"/>
      <c r="I54" s="946"/>
      <c r="J54" s="944"/>
      <c r="K54" s="945"/>
      <c r="L54" s="946"/>
      <c r="M54" s="944"/>
      <c r="N54" s="959"/>
      <c r="O54" s="946"/>
      <c r="P54" s="944"/>
      <c r="Q54" s="959"/>
    </row>
    <row r="55" spans="1:19">
      <c r="A55" s="858"/>
      <c r="B55" s="12" t="s">
        <v>774</v>
      </c>
      <c r="F55" s="944"/>
      <c r="G55" s="944"/>
      <c r="H55" s="945"/>
      <c r="I55" s="946"/>
      <c r="J55" s="944"/>
      <c r="K55" s="945"/>
      <c r="L55" s="946"/>
      <c r="M55" s="944"/>
      <c r="N55" s="959"/>
      <c r="O55" s="946"/>
      <c r="P55" s="954">
        <v>0.76800000000000002</v>
      </c>
      <c r="Q55" s="955">
        <v>0.221</v>
      </c>
      <c r="S55" s="893"/>
    </row>
    <row r="56" spans="1:19">
      <c r="B56" s="12" t="s">
        <v>122</v>
      </c>
      <c r="F56" s="944"/>
      <c r="G56" s="944"/>
      <c r="H56" s="945"/>
      <c r="I56" s="946"/>
      <c r="J56" s="944"/>
      <c r="K56" s="945"/>
      <c r="L56" s="946"/>
      <c r="M56" s="944"/>
      <c r="N56" s="945">
        <v>1</v>
      </c>
      <c r="O56" s="946"/>
      <c r="P56" s="944"/>
      <c r="Q56" s="945"/>
    </row>
    <row r="57" spans="1:19">
      <c r="B57" s="808" t="s">
        <v>124</v>
      </c>
      <c r="C57" s="808"/>
      <c r="D57" s="808"/>
      <c r="E57" s="808"/>
      <c r="F57" s="950"/>
      <c r="G57" s="950"/>
      <c r="H57" s="951">
        <v>1</v>
      </c>
      <c r="I57" s="952"/>
      <c r="J57" s="950"/>
      <c r="K57" s="951">
        <v>1</v>
      </c>
      <c r="L57" s="952"/>
      <c r="M57" s="950"/>
      <c r="N57" s="951">
        <v>1</v>
      </c>
      <c r="O57" s="952"/>
      <c r="P57" s="950"/>
      <c r="Q57" s="951"/>
    </row>
    <row r="58" spans="1:19">
      <c r="B58" s="804" t="s">
        <v>856</v>
      </c>
      <c r="F58" s="944"/>
      <c r="G58" s="944"/>
      <c r="H58" s="960"/>
      <c r="I58" s="946"/>
      <c r="J58" s="944"/>
      <c r="K58" s="945"/>
      <c r="L58" s="946"/>
      <c r="M58" s="944"/>
      <c r="N58" s="945"/>
      <c r="O58" s="960"/>
      <c r="P58" s="944"/>
      <c r="Q58" s="945"/>
    </row>
    <row r="59" spans="1:19">
      <c r="B59" s="12" t="s">
        <v>818</v>
      </c>
      <c r="F59" s="944"/>
      <c r="G59" s="944"/>
      <c r="H59" s="945"/>
      <c r="I59" s="946"/>
      <c r="J59" s="944"/>
      <c r="K59" s="945"/>
      <c r="L59" s="953">
        <v>1</v>
      </c>
      <c r="M59" s="954"/>
      <c r="N59" s="955"/>
      <c r="O59" s="956"/>
      <c r="P59" s="954"/>
      <c r="Q59" s="955"/>
    </row>
    <row r="60" spans="1:19">
      <c r="A60" s="858"/>
      <c r="B60" s="12" t="s">
        <v>819</v>
      </c>
      <c r="F60" s="944"/>
      <c r="G60" s="944"/>
      <c r="H60" s="945"/>
      <c r="I60" s="946"/>
      <c r="J60" s="944"/>
      <c r="K60" s="945"/>
      <c r="L60" s="953"/>
      <c r="M60" s="954"/>
      <c r="N60" s="955">
        <v>1</v>
      </c>
      <c r="O60" s="946"/>
      <c r="P60" s="944"/>
      <c r="Q60" s="945"/>
    </row>
    <row r="61" spans="1:19">
      <c r="B61" s="961" t="s">
        <v>490</v>
      </c>
      <c r="C61" s="806"/>
      <c r="D61" s="806"/>
      <c r="E61" s="806"/>
      <c r="F61" s="947"/>
      <c r="G61" s="947"/>
      <c r="H61" s="947"/>
      <c r="I61" s="949"/>
      <c r="J61" s="947"/>
      <c r="K61" s="948"/>
      <c r="L61" s="949"/>
      <c r="M61" s="947"/>
      <c r="N61" s="948"/>
      <c r="O61" s="947"/>
      <c r="P61" s="947"/>
      <c r="Q61" s="948"/>
    </row>
    <row r="62" spans="1:19" ht="15.75">
      <c r="B62" s="809" t="s">
        <v>496</v>
      </c>
      <c r="F62" s="944"/>
      <c r="G62" s="944"/>
      <c r="H62" s="944"/>
      <c r="I62" s="946"/>
      <c r="J62" s="944"/>
      <c r="K62" s="945"/>
      <c r="L62" s="946"/>
      <c r="M62" s="944"/>
      <c r="N62" s="945"/>
      <c r="O62" s="944"/>
      <c r="P62" s="944"/>
      <c r="Q62" s="945"/>
    </row>
    <row r="63" spans="1:19">
      <c r="B63" s="962" t="s">
        <v>766</v>
      </c>
      <c r="F63" s="944"/>
      <c r="G63" s="944"/>
      <c r="H63" s="944"/>
      <c r="I63" s="946">
        <v>1</v>
      </c>
      <c r="J63" s="944"/>
      <c r="K63" s="945"/>
      <c r="L63" s="946"/>
      <c r="M63" s="944"/>
      <c r="N63" s="945"/>
      <c r="O63" s="944"/>
      <c r="P63" s="944"/>
      <c r="Q63" s="945"/>
    </row>
    <row r="64" spans="1:19">
      <c r="B64" s="962" t="s">
        <v>109</v>
      </c>
      <c r="F64" s="944"/>
      <c r="G64" s="944"/>
      <c r="H64" s="944">
        <v>1</v>
      </c>
      <c r="I64" s="946"/>
      <c r="J64" s="944"/>
      <c r="K64" s="945"/>
      <c r="L64" s="946"/>
      <c r="M64" s="944"/>
      <c r="N64" s="945"/>
      <c r="O64" s="944"/>
      <c r="P64" s="944"/>
      <c r="Q64" s="945"/>
    </row>
    <row r="65" spans="1:17">
      <c r="B65" s="962" t="s">
        <v>857</v>
      </c>
      <c r="F65" s="944"/>
      <c r="G65" s="944"/>
      <c r="H65" s="944"/>
      <c r="I65" s="946"/>
      <c r="J65" s="944"/>
      <c r="K65" s="945"/>
      <c r="L65" s="946"/>
      <c r="M65" s="944">
        <v>1</v>
      </c>
      <c r="N65" s="945"/>
      <c r="O65" s="944"/>
      <c r="P65" s="944">
        <v>1</v>
      </c>
      <c r="Q65" s="945"/>
    </row>
    <row r="66" spans="1:17">
      <c r="A66" s="858"/>
      <c r="B66" s="963" t="s">
        <v>767</v>
      </c>
      <c r="C66" s="808"/>
      <c r="D66" s="808"/>
      <c r="E66" s="808"/>
      <c r="F66" s="950"/>
      <c r="G66" s="950"/>
      <c r="H66" s="950"/>
      <c r="I66" s="952"/>
      <c r="J66" s="950"/>
      <c r="K66" s="951"/>
      <c r="L66" s="952">
        <v>1</v>
      </c>
      <c r="M66" s="950"/>
      <c r="N66" s="951"/>
      <c r="O66" s="950"/>
      <c r="P66" s="950"/>
      <c r="Q66" s="964"/>
    </row>
    <row r="67" spans="1:17" ht="15.75">
      <c r="B67" s="809" t="s">
        <v>820</v>
      </c>
      <c r="F67" s="944"/>
      <c r="G67" s="944"/>
      <c r="H67" s="944"/>
      <c r="I67" s="949"/>
      <c r="J67" s="947"/>
      <c r="K67" s="948"/>
      <c r="L67" s="946"/>
      <c r="M67" s="944"/>
      <c r="N67" s="945"/>
      <c r="O67" s="944"/>
      <c r="P67" s="944"/>
      <c r="Q67" s="945"/>
    </row>
    <row r="68" spans="1:17">
      <c r="B68" s="963" t="s">
        <v>776</v>
      </c>
      <c r="C68" s="808"/>
      <c r="D68" s="808"/>
      <c r="E68" s="808"/>
      <c r="F68" s="950"/>
      <c r="G68" s="950"/>
      <c r="H68" s="951"/>
      <c r="I68" s="952"/>
      <c r="J68" s="950"/>
      <c r="K68" s="951"/>
      <c r="L68" s="952"/>
      <c r="M68" s="950"/>
      <c r="N68" s="951"/>
      <c r="O68" s="952">
        <v>1</v>
      </c>
      <c r="P68" s="950"/>
      <c r="Q68" s="951"/>
    </row>
  </sheetData>
  <mergeCells count="4">
    <mergeCell ref="I21:K21"/>
    <mergeCell ref="L21:N21"/>
    <mergeCell ref="O21:Q21"/>
    <mergeCell ref="B16:L16"/>
  </mergeCells>
  <pageMargins left="0.41" right="0.7" top="0.36" bottom="0.27" header="0.3" footer="0.19"/>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35</vt:i4>
      </vt:variant>
    </vt:vector>
  </HeadingPairs>
  <TitlesOfParts>
    <vt:vector size="52"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SL City of Kitchener</vt:lpstr>
      <vt:lpstr>10. SL Township of Wilmot</vt:lpstr>
      <vt:lpstr>11. SL Region of Waterloo</vt:lpstr>
      <vt:lpstr>'1.  LRAMVA Summary'!Print_Area</vt:lpstr>
      <vt:lpstr>'10. SL Township of Wilmot'!Print_Area</vt:lpstr>
      <vt:lpstr>'11. SL Region of Waterloo'!Print_Area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'9. SL City of Kitchener'!Print_Area</vt:lpstr>
      <vt:lpstr>Contents!Print_Area</vt:lpstr>
      <vt:lpstr>'LRAMVA Checklist Schematic'!Print_Area</vt:lpstr>
      <vt:lpstr>'10. SL Township of Wilmot'!Print_Titles</vt:lpstr>
      <vt:lpstr>'11. SL Region of Waterloo'!Print_Titles</vt:lpstr>
      <vt:lpstr>'3-a.  Rate Class Allocations'!Print_Titles</vt:lpstr>
      <vt:lpstr>'4.  2011-2014 LRAM'!Print_Titles</vt:lpstr>
      <vt:lpstr>'5.  2015-2020 LRAM'!Print_Titles</vt:lpstr>
      <vt:lpstr>'7.  Persistence Report'!Print_Titles</vt:lpstr>
      <vt:lpstr>'9. SL City of Kitchener'!Print_Titles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KWHI</cp:lastModifiedBy>
  <cp:lastPrinted>2020-08-12T18:08:00Z</cp:lastPrinted>
  <dcterms:created xsi:type="dcterms:W3CDTF">2012-03-05T18:56:04Z</dcterms:created>
  <dcterms:modified xsi:type="dcterms:W3CDTF">2020-10-09T15:28:55Z</dcterms:modified>
</cp:coreProperties>
</file>